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32 сесія __25.08.23\НА ДРУК\"/>
    </mc:Choice>
  </mc:AlternateContent>
  <bookViews>
    <workbookView xWindow="0" yWindow="0" windowWidth="20490" windowHeight="7035" activeTab="4"/>
  </bookViews>
  <sheets>
    <sheet name="Структура" sheetId="21" r:id="rId1"/>
    <sheet name=" педперсонал1-8 " sheetId="19" r:id="rId2"/>
    <sheet name=" педперсонал 9-12" sheetId="22" r:id="rId3"/>
    <sheet name=" техперсонал 1-8" sheetId="20" r:id="rId4"/>
    <sheet name=" техперсонал 9-12" sheetId="23" r:id="rId5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1" l="1"/>
  <c r="AB54" i="22" l="1"/>
  <c r="AB52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11" i="22"/>
  <c r="AA11" i="19"/>
  <c r="AA13" i="19"/>
  <c r="AA14" i="19"/>
  <c r="AA15" i="19"/>
  <c r="AA16" i="19"/>
  <c r="AA12" i="19"/>
  <c r="AA43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1" i="19"/>
  <c r="AA42" i="19"/>
  <c r="AA18" i="19"/>
  <c r="P30" i="22"/>
  <c r="P32" i="22"/>
  <c r="N32" i="22"/>
  <c r="P22" i="22"/>
  <c r="N36" i="22"/>
  <c r="P39" i="22"/>
  <c r="P35" i="22"/>
  <c r="P38" i="22"/>
  <c r="P41" i="22"/>
  <c r="J29" i="22"/>
  <c r="P29" i="22"/>
  <c r="P28" i="22"/>
  <c r="P25" i="22"/>
  <c r="T22" i="22"/>
  <c r="N18" i="22"/>
  <c r="A20" i="23"/>
  <c r="A21" i="23" s="1"/>
  <c r="A22" i="23" s="1"/>
  <c r="A23" i="23" s="1"/>
  <c r="A24" i="23" s="1"/>
  <c r="A25" i="23" s="1"/>
  <c r="A26" i="23" s="1"/>
  <c r="A27" i="23" s="1"/>
  <c r="A16" i="23"/>
  <c r="A13" i="23"/>
  <c r="A14" i="23"/>
  <c r="Y10" i="23" l="1"/>
  <c r="Y20" i="23"/>
  <c r="Z13" i="23"/>
  <c r="Y13" i="23"/>
  <c r="W13" i="23"/>
  <c r="V13" i="23"/>
  <c r="U13" i="23"/>
  <c r="F13" i="23"/>
  <c r="Y14" i="23"/>
  <c r="Y15" i="23"/>
  <c r="Y17" i="23"/>
  <c r="Y18" i="23"/>
  <c r="Y24" i="23"/>
  <c r="Y11" i="23"/>
  <c r="Y9" i="23"/>
  <c r="F21" i="23"/>
  <c r="U21" i="23" s="1"/>
  <c r="W15" i="23"/>
  <c r="W9" i="23"/>
  <c r="Y15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9" i="20"/>
  <c r="E28" i="23"/>
  <c r="F27" i="23"/>
  <c r="J27" i="23" s="1"/>
  <c r="F26" i="23"/>
  <c r="U26" i="23" s="1"/>
  <c r="F25" i="23"/>
  <c r="J25" i="23" s="1"/>
  <c r="F24" i="23"/>
  <c r="F23" i="23"/>
  <c r="Y23" i="23" s="1"/>
  <c r="J22" i="23"/>
  <c r="F22" i="23"/>
  <c r="Y22" i="23" s="1"/>
  <c r="F20" i="23"/>
  <c r="F19" i="23"/>
  <c r="U19" i="23" s="1"/>
  <c r="F18" i="23"/>
  <c r="F17" i="23"/>
  <c r="F16" i="23"/>
  <c r="Y16" i="23" s="1"/>
  <c r="F14" i="23"/>
  <c r="U14" i="23" s="1"/>
  <c r="V14" i="23" s="1"/>
  <c r="W14" i="23" s="1"/>
  <c r="F12" i="23"/>
  <c r="H12" i="23" s="1"/>
  <c r="F11" i="23"/>
  <c r="F10" i="23"/>
  <c r="A10" i="23"/>
  <c r="A11" i="23" s="1"/>
  <c r="A12" i="23" s="1"/>
  <c r="A17" i="23" s="1"/>
  <c r="A18" i="23" s="1"/>
  <c r="A19" i="23" s="1"/>
  <c r="R9" i="23"/>
  <c r="R28" i="23" s="1"/>
  <c r="H9" i="23"/>
  <c r="F9" i="23"/>
  <c r="U9" i="23" s="1"/>
  <c r="AA47" i="22"/>
  <c r="AA48" i="22"/>
  <c r="AA49" i="22"/>
  <c r="AA50" i="22"/>
  <c r="X47" i="19"/>
  <c r="X48" i="19"/>
  <c r="X46" i="19"/>
  <c r="Y48" i="22"/>
  <c r="Y49" i="22"/>
  <c r="Y50" i="22"/>
  <c r="Y47" i="22"/>
  <c r="Y12" i="23" l="1"/>
  <c r="V21" i="23"/>
  <c r="W21" i="23" s="1"/>
  <c r="Y26" i="23"/>
  <c r="Y21" i="23"/>
  <c r="J21" i="23"/>
  <c r="Y27" i="23"/>
  <c r="Y25" i="23"/>
  <c r="Y19" i="23"/>
  <c r="J16" i="23"/>
  <c r="J17" i="23"/>
  <c r="J18" i="23"/>
  <c r="V18" i="23" s="1"/>
  <c r="W18" i="23" s="1"/>
  <c r="Z18" i="23" s="1"/>
  <c r="U22" i="23"/>
  <c r="V22" i="23" s="1"/>
  <c r="J23" i="23"/>
  <c r="J24" i="23"/>
  <c r="U16" i="23"/>
  <c r="U17" i="23"/>
  <c r="U18" i="23"/>
  <c r="U23" i="23"/>
  <c r="U24" i="23"/>
  <c r="L25" i="23"/>
  <c r="L28" i="23" s="1"/>
  <c r="U25" i="23"/>
  <c r="P27" i="23"/>
  <c r="P28" i="23" s="1"/>
  <c r="Z14" i="23"/>
  <c r="F28" i="23"/>
  <c r="T9" i="23"/>
  <c r="T28" i="23" s="1"/>
  <c r="X28" i="23"/>
  <c r="J10" i="23"/>
  <c r="U11" i="23"/>
  <c r="V11" i="23" s="1"/>
  <c r="U12" i="23"/>
  <c r="V12" i="23" s="1"/>
  <c r="J20" i="23"/>
  <c r="U27" i="23"/>
  <c r="V27" i="23" s="1"/>
  <c r="Y28" i="23"/>
  <c r="H28" i="23"/>
  <c r="U10" i="23"/>
  <c r="J19" i="23"/>
  <c r="V19" i="23" s="1"/>
  <c r="N20" i="23"/>
  <c r="N28" i="23" s="1"/>
  <c r="U20" i="23"/>
  <c r="V20" i="23" s="1"/>
  <c r="J26" i="23"/>
  <c r="V26" i="23" s="1"/>
  <c r="V24" i="23" l="1"/>
  <c r="V17" i="23"/>
  <c r="W17" i="23" s="1"/>
  <c r="Z17" i="23" s="1"/>
  <c r="Z21" i="23"/>
  <c r="V23" i="23"/>
  <c r="W23" i="23" s="1"/>
  <c r="Z23" i="23" s="1"/>
  <c r="V16" i="23"/>
  <c r="W22" i="23"/>
  <c r="Z22" i="23" s="1"/>
  <c r="W24" i="23"/>
  <c r="Z24" i="23" s="1"/>
  <c r="Z16" i="23"/>
  <c r="W16" i="23"/>
  <c r="W20" i="23"/>
  <c r="Z20" i="23" s="1"/>
  <c r="W11" i="23"/>
  <c r="Z11" i="23" s="1"/>
  <c r="W27" i="23"/>
  <c r="Z27" i="23" s="1"/>
  <c r="W12" i="23"/>
  <c r="Z12" i="23" s="1"/>
  <c r="W26" i="23"/>
  <c r="Z26" i="23" s="1"/>
  <c r="W19" i="23"/>
  <c r="Z19" i="23" s="1"/>
  <c r="U28" i="23"/>
  <c r="V25" i="23"/>
  <c r="V10" i="23"/>
  <c r="J28" i="23"/>
  <c r="V9" i="23"/>
  <c r="W25" i="23" l="1"/>
  <c r="Z25" i="23" s="1"/>
  <c r="W10" i="23"/>
  <c r="Z10" i="23" s="1"/>
  <c r="V28" i="23"/>
  <c r="W28" i="23" l="1"/>
  <c r="Z9" i="23"/>
  <c r="Z28" i="23" l="1"/>
  <c r="Z29" i="23" s="1"/>
  <c r="Z30" i="23" s="1"/>
  <c r="A42" i="22" l="1"/>
  <c r="A43" i="22"/>
  <c r="A44" i="22" s="1"/>
  <c r="V42" i="22"/>
  <c r="W42" i="22" s="1"/>
  <c r="X42" i="22" s="1"/>
  <c r="AB42" i="22" s="1"/>
  <c r="J42" i="22"/>
  <c r="E42" i="22"/>
  <c r="F42" i="22" s="1"/>
  <c r="H42" i="22" s="1"/>
  <c r="G28" i="22"/>
  <c r="G21" i="22"/>
  <c r="X17" i="22"/>
  <c r="T22" i="19"/>
  <c r="X12" i="19" l="1"/>
  <c r="X13" i="19"/>
  <c r="X14" i="19"/>
  <c r="X15" i="19"/>
  <c r="X16" i="19"/>
  <c r="X17" i="19"/>
  <c r="X23" i="19"/>
  <c r="X24" i="19"/>
  <c r="X27" i="19"/>
  <c r="X28" i="19"/>
  <c r="X34" i="19"/>
  <c r="X35" i="19"/>
  <c r="X36" i="19"/>
  <c r="X37" i="19"/>
  <c r="X38" i="19"/>
  <c r="X39" i="19"/>
  <c r="X40" i="19"/>
  <c r="X41" i="19"/>
  <c r="X42" i="19"/>
  <c r="X11" i="19"/>
  <c r="U52" i="22" l="1"/>
  <c r="S52" i="22"/>
  <c r="Q52" i="22"/>
  <c r="AA51" i="22"/>
  <c r="T51" i="22"/>
  <c r="R51" i="22"/>
  <c r="P51" i="22"/>
  <c r="N51" i="22"/>
  <c r="L51" i="22"/>
  <c r="G51" i="22"/>
  <c r="E50" i="22"/>
  <c r="F50" i="22" s="1"/>
  <c r="H50" i="22" s="1"/>
  <c r="E49" i="22"/>
  <c r="F49" i="22" s="1"/>
  <c r="H49" i="22" s="1"/>
  <c r="E48" i="22"/>
  <c r="F48" i="22" s="1"/>
  <c r="H48" i="22" s="1"/>
  <c r="E47" i="22"/>
  <c r="F47" i="22" s="1"/>
  <c r="H47" i="22" s="1"/>
  <c r="G45" i="22"/>
  <c r="G52" i="22" s="1"/>
  <c r="E44" i="22"/>
  <c r="F44" i="22" s="1"/>
  <c r="H44" i="22" s="1"/>
  <c r="E43" i="22"/>
  <c r="F43" i="22" s="1"/>
  <c r="H43" i="22" s="1"/>
  <c r="E41" i="22"/>
  <c r="F41" i="22" s="1"/>
  <c r="H41" i="22" s="1"/>
  <c r="E40" i="22"/>
  <c r="F40" i="22" s="1"/>
  <c r="H40" i="22" s="1"/>
  <c r="E39" i="22"/>
  <c r="F39" i="22" s="1"/>
  <c r="H39" i="22" s="1"/>
  <c r="E38" i="22"/>
  <c r="F38" i="22" s="1"/>
  <c r="H38" i="22" s="1"/>
  <c r="E37" i="22"/>
  <c r="F37" i="22" s="1"/>
  <c r="H37" i="22" s="1"/>
  <c r="E36" i="22"/>
  <c r="F36" i="22" s="1"/>
  <c r="H36" i="22" s="1"/>
  <c r="E35" i="22"/>
  <c r="F35" i="22" s="1"/>
  <c r="H35" i="22" s="1"/>
  <c r="E34" i="22"/>
  <c r="F34" i="22" s="1"/>
  <c r="H34" i="22" s="1"/>
  <c r="E33" i="22"/>
  <c r="F33" i="22" s="1"/>
  <c r="H33" i="22" s="1"/>
  <c r="E32" i="22"/>
  <c r="F32" i="22" s="1"/>
  <c r="H32" i="22" s="1"/>
  <c r="V31" i="22"/>
  <c r="E31" i="22"/>
  <c r="F31" i="22" s="1"/>
  <c r="H31" i="22" s="1"/>
  <c r="E30" i="22"/>
  <c r="F30" i="22" s="1"/>
  <c r="H30" i="22" s="1"/>
  <c r="J30" i="22" s="1"/>
  <c r="E29" i="22"/>
  <c r="F29" i="22" s="1"/>
  <c r="H29" i="22" s="1"/>
  <c r="F28" i="22"/>
  <c r="H28" i="22" s="1"/>
  <c r="E28" i="22"/>
  <c r="E27" i="22"/>
  <c r="F27" i="22" s="1"/>
  <c r="H27" i="22" s="1"/>
  <c r="F26" i="22"/>
  <c r="H26" i="22" s="1"/>
  <c r="E26" i="22"/>
  <c r="E25" i="22"/>
  <c r="F25" i="22" s="1"/>
  <c r="H25" i="22" s="1"/>
  <c r="T25" i="22" s="1"/>
  <c r="E24" i="22"/>
  <c r="F24" i="22" s="1"/>
  <c r="H24" i="22" s="1"/>
  <c r="E23" i="22"/>
  <c r="F23" i="22" s="1"/>
  <c r="H23" i="22" s="1"/>
  <c r="E22" i="22"/>
  <c r="F22" i="22" s="1"/>
  <c r="H22" i="22" s="1"/>
  <c r="E21" i="22"/>
  <c r="F21" i="22" s="1"/>
  <c r="H21" i="22" s="1"/>
  <c r="E20" i="22"/>
  <c r="F20" i="22" s="1"/>
  <c r="H20" i="22" s="1"/>
  <c r="A20" i="22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7" i="22" s="1"/>
  <c r="A48" i="22" s="1"/>
  <c r="A49" i="22" s="1"/>
  <c r="A50" i="22" s="1"/>
  <c r="E19" i="22"/>
  <c r="F19" i="22" s="1"/>
  <c r="H19" i="22" s="1"/>
  <c r="A19" i="22"/>
  <c r="E18" i="22"/>
  <c r="F18" i="22" s="1"/>
  <c r="H18" i="22" s="1"/>
  <c r="E16" i="22"/>
  <c r="F16" i="22" s="1"/>
  <c r="H16" i="22" s="1"/>
  <c r="E15" i="22"/>
  <c r="F15" i="22" s="1"/>
  <c r="H15" i="22" s="1"/>
  <c r="F14" i="22"/>
  <c r="H14" i="22" s="1"/>
  <c r="E14" i="22"/>
  <c r="E13" i="22"/>
  <c r="F13" i="22" s="1"/>
  <c r="H13" i="22" s="1"/>
  <c r="E12" i="22"/>
  <c r="F12" i="22" s="1"/>
  <c r="H12" i="22" s="1"/>
  <c r="E11" i="22"/>
  <c r="F11" i="22" s="1"/>
  <c r="H11" i="22" s="1"/>
  <c r="Z51" i="22" l="1"/>
  <c r="J50" i="22"/>
  <c r="V20" i="22"/>
  <c r="J36" i="22"/>
  <c r="J40" i="22"/>
  <c r="P20" i="22"/>
  <c r="V18" i="22"/>
  <c r="J18" i="22"/>
  <c r="R18" i="22"/>
  <c r="P18" i="22"/>
  <c r="V27" i="22"/>
  <c r="J27" i="22"/>
  <c r="R27" i="22"/>
  <c r="H45" i="22"/>
  <c r="L11" i="22"/>
  <c r="L45" i="22" s="1"/>
  <c r="L52" i="22" s="1"/>
  <c r="J11" i="22"/>
  <c r="V11" i="22"/>
  <c r="J12" i="22"/>
  <c r="V12" i="22"/>
  <c r="V21" i="22"/>
  <c r="J21" i="22"/>
  <c r="R21" i="22"/>
  <c r="P21" i="22"/>
  <c r="J13" i="22"/>
  <c r="W13" i="22" s="1"/>
  <c r="V13" i="22"/>
  <c r="R19" i="22"/>
  <c r="P19" i="22"/>
  <c r="J19" i="22"/>
  <c r="V19" i="22"/>
  <c r="V14" i="22"/>
  <c r="V23" i="22"/>
  <c r="J23" i="22"/>
  <c r="W23" i="22" s="1"/>
  <c r="V41" i="22"/>
  <c r="V49" i="22"/>
  <c r="J49" i="22"/>
  <c r="J14" i="22"/>
  <c r="J15" i="22"/>
  <c r="J16" i="22"/>
  <c r="V22" i="22"/>
  <c r="V25" i="22"/>
  <c r="R25" i="22"/>
  <c r="J25" i="22"/>
  <c r="N26" i="22"/>
  <c r="R26" i="22"/>
  <c r="J26" i="22"/>
  <c r="V28" i="22"/>
  <c r="R28" i="22"/>
  <c r="R33" i="22"/>
  <c r="P33" i="22"/>
  <c r="V33" i="22"/>
  <c r="J33" i="22"/>
  <c r="V38" i="22"/>
  <c r="J38" i="22"/>
  <c r="J41" i="22"/>
  <c r="V48" i="22"/>
  <c r="J48" i="22"/>
  <c r="H51" i="22"/>
  <c r="V15" i="22"/>
  <c r="W15" i="22" s="1"/>
  <c r="X15" i="22" s="1"/>
  <c r="V16" i="22"/>
  <c r="R20" i="22"/>
  <c r="J22" i="22"/>
  <c r="V26" i="22"/>
  <c r="J28" i="22"/>
  <c r="V29" i="22"/>
  <c r="R29" i="22"/>
  <c r="J32" i="22"/>
  <c r="V32" i="22"/>
  <c r="V37" i="22"/>
  <c r="J47" i="22"/>
  <c r="V47" i="22"/>
  <c r="W47" i="22" s="1"/>
  <c r="X47" i="22" s="1"/>
  <c r="J20" i="22"/>
  <c r="R30" i="22"/>
  <c r="V30" i="22"/>
  <c r="J31" i="22"/>
  <c r="W31" i="22"/>
  <c r="X31" i="22" s="1"/>
  <c r="R32" i="22"/>
  <c r="J34" i="22"/>
  <c r="V34" i="22"/>
  <c r="N34" i="22"/>
  <c r="J37" i="22"/>
  <c r="V43" i="22"/>
  <c r="J43" i="22"/>
  <c r="V24" i="22"/>
  <c r="V35" i="22"/>
  <c r="V39" i="22"/>
  <c r="V44" i="22"/>
  <c r="J24" i="22"/>
  <c r="J35" i="22"/>
  <c r="V36" i="22"/>
  <c r="W36" i="22" s="1"/>
  <c r="J39" i="22"/>
  <c r="V40" i="22"/>
  <c r="J44" i="22"/>
  <c r="W44" i="22" s="1"/>
  <c r="V50" i="22"/>
  <c r="W50" i="22" s="1"/>
  <c r="W39" i="22" l="1"/>
  <c r="W14" i="22"/>
  <c r="X14" i="22" s="1"/>
  <c r="AB14" i="22" s="1"/>
  <c r="W12" i="22"/>
  <c r="X12" i="22" s="1"/>
  <c r="W43" i="22"/>
  <c r="X43" i="22" s="1"/>
  <c r="AB43" i="22" s="1"/>
  <c r="W20" i="22"/>
  <c r="W38" i="22"/>
  <c r="W33" i="22"/>
  <c r="X33" i="22" s="1"/>
  <c r="W41" i="22"/>
  <c r="X41" i="22" s="1"/>
  <c r="AB41" i="22" s="1"/>
  <c r="X50" i="22"/>
  <c r="AB50" i="22" s="1"/>
  <c r="W22" i="22"/>
  <c r="X22" i="22" s="1"/>
  <c r="AB22" i="22" s="1"/>
  <c r="X44" i="22"/>
  <c r="AB44" i="22" s="1"/>
  <c r="X23" i="22"/>
  <c r="AB23" i="22" s="1"/>
  <c r="X38" i="22"/>
  <c r="AB38" i="22" s="1"/>
  <c r="W30" i="22"/>
  <c r="X30" i="22" s="1"/>
  <c r="AB30" i="22" s="1"/>
  <c r="W37" i="22"/>
  <c r="W48" i="22"/>
  <c r="W19" i="22"/>
  <c r="W40" i="22"/>
  <c r="X40" i="22" s="1"/>
  <c r="AB40" i="22" s="1"/>
  <c r="W16" i="22"/>
  <c r="X13" i="22"/>
  <c r="AB13" i="22" s="1"/>
  <c r="W35" i="22"/>
  <c r="X35" i="22" s="1"/>
  <c r="AB35" i="22" s="1"/>
  <c r="W34" i="22"/>
  <c r="X34" i="22" s="1"/>
  <c r="AB34" i="22" s="1"/>
  <c r="W24" i="22"/>
  <c r="X24" i="22" s="1"/>
  <c r="AB24" i="22" s="1"/>
  <c r="J51" i="22"/>
  <c r="W49" i="22"/>
  <c r="W21" i="22"/>
  <c r="X21" i="22" s="1"/>
  <c r="AB21" i="22" s="1"/>
  <c r="X36" i="22"/>
  <c r="AB36" i="22" s="1"/>
  <c r="X39" i="22"/>
  <c r="AB39" i="22" s="1"/>
  <c r="W29" i="22"/>
  <c r="X29" i="22" s="1"/>
  <c r="AB29" i="22" s="1"/>
  <c r="W28" i="22"/>
  <c r="X28" i="22" s="1"/>
  <c r="AB28" i="22" s="1"/>
  <c r="W27" i="22"/>
  <c r="X27" i="22" s="1"/>
  <c r="AB27" i="22" s="1"/>
  <c r="W26" i="22"/>
  <c r="W32" i="22"/>
  <c r="X32" i="22" s="1"/>
  <c r="AB32" i="22" s="1"/>
  <c r="X20" i="22"/>
  <c r="AB20" i="22" s="1"/>
  <c r="X19" i="22"/>
  <c r="AB19" i="22" s="1"/>
  <c r="P45" i="22"/>
  <c r="P52" i="22" s="1"/>
  <c r="W25" i="22"/>
  <c r="X26" i="22"/>
  <c r="AB26" i="22" s="1"/>
  <c r="AB12" i="22"/>
  <c r="AA45" i="22"/>
  <c r="AA52" i="22" s="1"/>
  <c r="AB31" i="22"/>
  <c r="H52" i="22"/>
  <c r="T45" i="22"/>
  <c r="T52" i="22" s="1"/>
  <c r="R45" i="22"/>
  <c r="R52" i="22" s="1"/>
  <c r="Y51" i="22"/>
  <c r="AB15" i="22"/>
  <c r="V45" i="22"/>
  <c r="Z45" i="22"/>
  <c r="V51" i="22"/>
  <c r="N45" i="22"/>
  <c r="N52" i="22" s="1"/>
  <c r="J45" i="22"/>
  <c r="W11" i="22"/>
  <c r="X11" i="22" s="1"/>
  <c r="W18" i="22"/>
  <c r="Y45" i="22"/>
  <c r="AB33" i="22"/>
  <c r="X49" i="22" l="1"/>
  <c r="AB49" i="22" s="1"/>
  <c r="X48" i="22"/>
  <c r="AB48" i="22" s="1"/>
  <c r="J52" i="22"/>
  <c r="Y52" i="22"/>
  <c r="X16" i="22"/>
  <c r="AB16" i="22" s="1"/>
  <c r="W51" i="22"/>
  <c r="X37" i="22"/>
  <c r="AB37" i="22" s="1"/>
  <c r="V52" i="22"/>
  <c r="X18" i="22"/>
  <c r="AB18" i="22" s="1"/>
  <c r="X25" i="22"/>
  <c r="AB25" i="22" s="1"/>
  <c r="W45" i="22"/>
  <c r="AB47" i="22"/>
  <c r="X51" i="22" l="1"/>
  <c r="AB51" i="22"/>
  <c r="W52" i="22"/>
  <c r="X45" i="22"/>
  <c r="X52" i="22" s="1"/>
  <c r="AB11" i="22"/>
  <c r="AB45" i="22" s="1"/>
  <c r="AB53" i="22" l="1"/>
  <c r="B31" i="21"/>
  <c r="B32" i="21" s="1"/>
  <c r="U13" i="20"/>
  <c r="U9" i="20"/>
  <c r="V13" i="20"/>
  <c r="Z37" i="19"/>
  <c r="X13" i="20"/>
  <c r="F13" i="20"/>
  <c r="Z13" i="20" l="1"/>
  <c r="Z12" i="19"/>
  <c r="Z13" i="19"/>
  <c r="Z14" i="19"/>
  <c r="Z15" i="19"/>
  <c r="Z16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8" i="19"/>
  <c r="Z39" i="19"/>
  <c r="Z40" i="19"/>
  <c r="Z41" i="19"/>
  <c r="Z42" i="19"/>
  <c r="Z43" i="19"/>
  <c r="Z11" i="19"/>
  <c r="X9" i="20"/>
  <c r="E26" i="20" l="1"/>
  <c r="F25" i="20"/>
  <c r="F24" i="20"/>
  <c r="U24" i="20" s="1"/>
  <c r="F23" i="20"/>
  <c r="F22" i="20"/>
  <c r="J22" i="20" s="1"/>
  <c r="F21" i="20"/>
  <c r="J21" i="20" s="1"/>
  <c r="A21" i="20"/>
  <c r="A22" i="20" s="1"/>
  <c r="A23" i="20" s="1"/>
  <c r="A24" i="20" s="1"/>
  <c r="A25" i="20" s="1"/>
  <c r="F20" i="20"/>
  <c r="F19" i="20"/>
  <c r="F18" i="20"/>
  <c r="F17" i="20"/>
  <c r="F16" i="20"/>
  <c r="U16" i="20" s="1"/>
  <c r="U15" i="20"/>
  <c r="F15" i="20"/>
  <c r="F12" i="20"/>
  <c r="H12" i="20" s="1"/>
  <c r="F11" i="20"/>
  <c r="F10" i="20"/>
  <c r="A10" i="20"/>
  <c r="A11" i="20" s="1"/>
  <c r="A12" i="20" s="1"/>
  <c r="A15" i="20" s="1"/>
  <c r="A16" i="20" s="1"/>
  <c r="A17" i="20" s="1"/>
  <c r="A18" i="20" s="1"/>
  <c r="R9" i="20"/>
  <c r="R26" i="20" s="1"/>
  <c r="H9" i="20"/>
  <c r="F9" i="20"/>
  <c r="U51" i="19"/>
  <c r="S51" i="19"/>
  <c r="Q51" i="19"/>
  <c r="T50" i="19"/>
  <c r="R50" i="19"/>
  <c r="P50" i="19"/>
  <c r="N50" i="19"/>
  <c r="L50" i="19"/>
  <c r="G50" i="19"/>
  <c r="E49" i="19"/>
  <c r="F49" i="19" s="1"/>
  <c r="H49" i="19" s="1"/>
  <c r="E48" i="19"/>
  <c r="F48" i="19" s="1"/>
  <c r="H48" i="19" s="1"/>
  <c r="V48" i="19" s="1"/>
  <c r="E47" i="19"/>
  <c r="F47" i="19" s="1"/>
  <c r="H47" i="19" s="1"/>
  <c r="E46" i="19"/>
  <c r="F46" i="19" s="1"/>
  <c r="H46" i="19" s="1"/>
  <c r="G44" i="19"/>
  <c r="E43" i="19"/>
  <c r="F43" i="19" s="1"/>
  <c r="H43" i="19" s="1"/>
  <c r="E42" i="19"/>
  <c r="F42" i="19" s="1"/>
  <c r="H42" i="19" s="1"/>
  <c r="E41" i="19"/>
  <c r="F41" i="19" s="1"/>
  <c r="H41" i="19" s="1"/>
  <c r="E40" i="19"/>
  <c r="F40" i="19" s="1"/>
  <c r="H40" i="19" s="1"/>
  <c r="H39" i="19"/>
  <c r="E39" i="19"/>
  <c r="F39" i="19" s="1"/>
  <c r="E38" i="19"/>
  <c r="F38" i="19" s="1"/>
  <c r="H38" i="19" s="1"/>
  <c r="E37" i="19"/>
  <c r="F37" i="19" s="1"/>
  <c r="H37" i="19" s="1"/>
  <c r="E36" i="19"/>
  <c r="F36" i="19" s="1"/>
  <c r="H36" i="19" s="1"/>
  <c r="H35" i="19"/>
  <c r="E35" i="19"/>
  <c r="F35" i="19" s="1"/>
  <c r="E34" i="19"/>
  <c r="F34" i="19" s="1"/>
  <c r="H34" i="19" s="1"/>
  <c r="F33" i="19"/>
  <c r="H33" i="19" s="1"/>
  <c r="E33" i="19"/>
  <c r="E32" i="19"/>
  <c r="F32" i="19" s="1"/>
  <c r="H32" i="19" s="1"/>
  <c r="E31" i="19"/>
  <c r="F31" i="19" s="1"/>
  <c r="H31" i="19" s="1"/>
  <c r="E30" i="19"/>
  <c r="F30" i="19" s="1"/>
  <c r="H30" i="19" s="1"/>
  <c r="E29" i="19"/>
  <c r="F29" i="19" s="1"/>
  <c r="H29" i="19" s="1"/>
  <c r="V29" i="19" s="1"/>
  <c r="F28" i="19"/>
  <c r="H28" i="19" s="1"/>
  <c r="R28" i="19" s="1"/>
  <c r="E28" i="19"/>
  <c r="E27" i="19"/>
  <c r="F27" i="19" s="1"/>
  <c r="H27" i="19" s="1"/>
  <c r="E26" i="19"/>
  <c r="F26" i="19" s="1"/>
  <c r="H26" i="19" s="1"/>
  <c r="N26" i="19" s="1"/>
  <c r="F25" i="19"/>
  <c r="H25" i="19" s="1"/>
  <c r="E25" i="19"/>
  <c r="E24" i="19"/>
  <c r="F24" i="19" s="1"/>
  <c r="H24" i="19" s="1"/>
  <c r="E23" i="19"/>
  <c r="F23" i="19" s="1"/>
  <c r="H23" i="19" s="1"/>
  <c r="E22" i="19"/>
  <c r="F22" i="19" s="1"/>
  <c r="H22" i="19" s="1"/>
  <c r="E21" i="19"/>
  <c r="F21" i="19" s="1"/>
  <c r="H21" i="19" s="1"/>
  <c r="E20" i="19"/>
  <c r="F20" i="19" s="1"/>
  <c r="H20" i="19" s="1"/>
  <c r="A20" i="19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6" i="19" s="1"/>
  <c r="A47" i="19" s="1"/>
  <c r="A48" i="19" s="1"/>
  <c r="A49" i="19" s="1"/>
  <c r="H19" i="19"/>
  <c r="E19" i="19"/>
  <c r="F19" i="19" s="1"/>
  <c r="A19" i="19"/>
  <c r="E18" i="19"/>
  <c r="F18" i="19" s="1"/>
  <c r="H18" i="19" s="1"/>
  <c r="R18" i="19" s="1"/>
  <c r="E16" i="19"/>
  <c r="F16" i="19" s="1"/>
  <c r="H16" i="19" s="1"/>
  <c r="E15" i="19"/>
  <c r="F15" i="19" s="1"/>
  <c r="H15" i="19" s="1"/>
  <c r="V15" i="19" s="1"/>
  <c r="E14" i="19"/>
  <c r="F14" i="19" s="1"/>
  <c r="H14" i="19" s="1"/>
  <c r="E13" i="19"/>
  <c r="F13" i="19" s="1"/>
  <c r="H13" i="19" s="1"/>
  <c r="E12" i="19"/>
  <c r="F12" i="19" s="1"/>
  <c r="H12" i="19" s="1"/>
  <c r="F11" i="19"/>
  <c r="H11" i="19" s="1"/>
  <c r="V11" i="19" s="1"/>
  <c r="E11" i="19"/>
  <c r="V46" i="19" l="1"/>
  <c r="J16" i="20"/>
  <c r="U21" i="20"/>
  <c r="X11" i="20"/>
  <c r="X18" i="20"/>
  <c r="X15" i="20"/>
  <c r="X19" i="20"/>
  <c r="V21" i="20"/>
  <c r="X21" i="20"/>
  <c r="X25" i="20"/>
  <c r="X10" i="20"/>
  <c r="U11" i="20"/>
  <c r="X17" i="20"/>
  <c r="X20" i="20"/>
  <c r="X23" i="20"/>
  <c r="U10" i="20"/>
  <c r="X12" i="20"/>
  <c r="V16" i="20"/>
  <c r="X16" i="20"/>
  <c r="J17" i="20"/>
  <c r="V17" i="20" s="1"/>
  <c r="U20" i="20"/>
  <c r="X24" i="20"/>
  <c r="J25" i="20"/>
  <c r="X22" i="20"/>
  <c r="J24" i="20"/>
  <c r="V24" i="20" s="1"/>
  <c r="V20" i="19"/>
  <c r="J47" i="19"/>
  <c r="J11" i="19"/>
  <c r="N34" i="19"/>
  <c r="N44" i="19" s="1"/>
  <c r="N51" i="19" s="1"/>
  <c r="J49" i="19"/>
  <c r="V30" i="19"/>
  <c r="V33" i="19"/>
  <c r="V13" i="19"/>
  <c r="J13" i="19"/>
  <c r="P21" i="19"/>
  <c r="J48" i="19"/>
  <c r="W48" i="19" s="1"/>
  <c r="V12" i="19"/>
  <c r="J20" i="19"/>
  <c r="J33" i="19"/>
  <c r="T9" i="20"/>
  <c r="T26" i="20" s="1"/>
  <c r="U17" i="20"/>
  <c r="J18" i="20"/>
  <c r="J19" i="20"/>
  <c r="U22" i="20"/>
  <c r="V22" i="20" s="1"/>
  <c r="J23" i="20"/>
  <c r="V23" i="20" s="1"/>
  <c r="P25" i="20"/>
  <c r="P26" i="20" s="1"/>
  <c r="F26" i="20"/>
  <c r="J10" i="20"/>
  <c r="U12" i="20"/>
  <c r="J15" i="20"/>
  <c r="V15" i="20" s="1"/>
  <c r="U18" i="20"/>
  <c r="N19" i="20"/>
  <c r="N26" i="20" s="1"/>
  <c r="J20" i="20"/>
  <c r="L23" i="20"/>
  <c r="L26" i="20" s="1"/>
  <c r="U25" i="20"/>
  <c r="H26" i="20"/>
  <c r="U19" i="20"/>
  <c r="V19" i="20" s="1"/>
  <c r="U23" i="20"/>
  <c r="J29" i="19"/>
  <c r="R32" i="19"/>
  <c r="J46" i="19"/>
  <c r="G51" i="19"/>
  <c r="V14" i="19"/>
  <c r="V31" i="19"/>
  <c r="J31" i="19"/>
  <c r="J14" i="19"/>
  <c r="V26" i="19"/>
  <c r="J26" i="19"/>
  <c r="R26" i="19"/>
  <c r="V36" i="19"/>
  <c r="J36" i="19"/>
  <c r="V42" i="19"/>
  <c r="V40" i="19"/>
  <c r="J40" i="19"/>
  <c r="R19" i="19"/>
  <c r="P19" i="19"/>
  <c r="V19" i="19"/>
  <c r="J19" i="19"/>
  <c r="R27" i="19"/>
  <c r="J27" i="19"/>
  <c r="V27" i="19"/>
  <c r="V38" i="19"/>
  <c r="J42" i="19"/>
  <c r="P18" i="19"/>
  <c r="V18" i="19"/>
  <c r="J18" i="19"/>
  <c r="V22" i="19"/>
  <c r="J22" i="19"/>
  <c r="V37" i="19"/>
  <c r="J37" i="19"/>
  <c r="H44" i="19"/>
  <c r="W11" i="19"/>
  <c r="L11" i="19"/>
  <c r="J12" i="19"/>
  <c r="J15" i="19"/>
  <c r="W15" i="19" s="1"/>
  <c r="V16" i="19"/>
  <c r="J16" i="19"/>
  <c r="R20" i="19"/>
  <c r="P20" i="19"/>
  <c r="V21" i="19"/>
  <c r="J21" i="19"/>
  <c r="R21" i="19"/>
  <c r="V23" i="19"/>
  <c r="J23" i="19"/>
  <c r="V24" i="19"/>
  <c r="J24" i="19"/>
  <c r="T25" i="19"/>
  <c r="R25" i="19"/>
  <c r="V25" i="19"/>
  <c r="J25" i="19"/>
  <c r="J38" i="19"/>
  <c r="V41" i="19"/>
  <c r="J41" i="19"/>
  <c r="J28" i="19"/>
  <c r="V28" i="19"/>
  <c r="J30" i="19"/>
  <c r="V32" i="19"/>
  <c r="V34" i="19"/>
  <c r="V35" i="19"/>
  <c r="V39" i="19"/>
  <c r="V43" i="19"/>
  <c r="Y50" i="19"/>
  <c r="P28" i="19"/>
  <c r="R29" i="19"/>
  <c r="R30" i="19"/>
  <c r="J32" i="19"/>
  <c r="R33" i="19"/>
  <c r="P33" i="19"/>
  <c r="J34" i="19"/>
  <c r="J35" i="19"/>
  <c r="J39" i="19"/>
  <c r="J43" i="19"/>
  <c r="W46" i="19"/>
  <c r="Z50" i="19"/>
  <c r="V47" i="19"/>
  <c r="V49" i="19"/>
  <c r="H50" i="19"/>
  <c r="W49" i="19" l="1"/>
  <c r="X49" i="19" s="1"/>
  <c r="AB49" i="19" s="1"/>
  <c r="W13" i="19"/>
  <c r="AB13" i="19" s="1"/>
  <c r="V50" i="19"/>
  <c r="V11" i="20"/>
  <c r="Z11" i="20" s="1"/>
  <c r="V18" i="20"/>
  <c r="Y26" i="20"/>
  <c r="Z22" i="20"/>
  <c r="V12" i="20"/>
  <c r="Z21" i="20"/>
  <c r="Z23" i="20"/>
  <c r="Z16" i="20"/>
  <c r="Z19" i="20"/>
  <c r="V20" i="20"/>
  <c r="Z24" i="20"/>
  <c r="W12" i="19"/>
  <c r="W40" i="19"/>
  <c r="AB40" i="19" s="1"/>
  <c r="Z15" i="20"/>
  <c r="W35" i="19"/>
  <c r="AB35" i="19" s="1"/>
  <c r="L44" i="19"/>
  <c r="L51" i="19" s="1"/>
  <c r="AB12" i="19"/>
  <c r="W21" i="19"/>
  <c r="X21" i="19" s="1"/>
  <c r="W41" i="19"/>
  <c r="W23" i="19"/>
  <c r="W19" i="19"/>
  <c r="X19" i="19" s="1"/>
  <c r="W37" i="19"/>
  <c r="W22" i="19"/>
  <c r="X22" i="19" s="1"/>
  <c r="W36" i="19"/>
  <c r="W47" i="19"/>
  <c r="W14" i="19"/>
  <c r="W43" i="19"/>
  <c r="X43" i="19" s="1"/>
  <c r="W20" i="19"/>
  <c r="X20" i="19" s="1"/>
  <c r="W16" i="19"/>
  <c r="W26" i="19"/>
  <c r="X26" i="19" s="1"/>
  <c r="J50" i="19"/>
  <c r="W28" i="19"/>
  <c r="W27" i="19"/>
  <c r="W25" i="19"/>
  <c r="X25" i="19" s="1"/>
  <c r="W33" i="19"/>
  <c r="X33" i="19" s="1"/>
  <c r="U26" i="20"/>
  <c r="Z18" i="20"/>
  <c r="V9" i="20"/>
  <c r="X26" i="20"/>
  <c r="Z17" i="20"/>
  <c r="J26" i="20"/>
  <c r="V10" i="20"/>
  <c r="V25" i="20"/>
  <c r="W42" i="19"/>
  <c r="W31" i="19"/>
  <c r="X31" i="19" s="1"/>
  <c r="AB36" i="19"/>
  <c r="W38" i="19"/>
  <c r="AB38" i="19" s="1"/>
  <c r="W30" i="19"/>
  <c r="X30" i="19" s="1"/>
  <c r="R44" i="19"/>
  <c r="R51" i="19" s="1"/>
  <c r="J44" i="19"/>
  <c r="W34" i="19"/>
  <c r="W29" i="19"/>
  <c r="X29" i="19" s="1"/>
  <c r="W32" i="19"/>
  <c r="X32" i="19" s="1"/>
  <c r="W18" i="19"/>
  <c r="X18" i="19" s="1"/>
  <c r="W39" i="19"/>
  <c r="V44" i="19"/>
  <c r="V51" i="19" s="1"/>
  <c r="W24" i="19"/>
  <c r="P44" i="19"/>
  <c r="P51" i="19" s="1"/>
  <c r="AA50" i="19"/>
  <c r="Z44" i="19"/>
  <c r="AA44" i="19"/>
  <c r="Y44" i="19"/>
  <c r="Y51" i="19" s="1"/>
  <c r="AB48" i="19"/>
  <c r="AB15" i="19"/>
  <c r="H51" i="19"/>
  <c r="T44" i="19"/>
  <c r="T51" i="19" s="1"/>
  <c r="J51" i="19" l="1"/>
  <c r="AB22" i="19"/>
  <c r="AB16" i="19"/>
  <c r="Z20" i="20"/>
  <c r="Z10" i="20"/>
  <c r="Z25" i="20"/>
  <c r="Z12" i="20"/>
  <c r="AB39" i="19"/>
  <c r="AB20" i="19"/>
  <c r="AB21" i="19"/>
  <c r="AB43" i="19"/>
  <c r="AB19" i="19"/>
  <c r="AB47" i="19"/>
  <c r="AB41" i="19"/>
  <c r="W50" i="19"/>
  <c r="AB37" i="19"/>
  <c r="AB26" i="19"/>
  <c r="AB14" i="19"/>
  <c r="AB23" i="19"/>
  <c r="AB28" i="19"/>
  <c r="AB27" i="19"/>
  <c r="AB25" i="19"/>
  <c r="AB33" i="19"/>
  <c r="V26" i="20"/>
  <c r="AB42" i="19"/>
  <c r="AB31" i="19"/>
  <c r="AB30" i="19"/>
  <c r="W44" i="19"/>
  <c r="AB34" i="19"/>
  <c r="AB29" i="19"/>
  <c r="AB32" i="19"/>
  <c r="AB18" i="19"/>
  <c r="AA51" i="19"/>
  <c r="AB11" i="19"/>
  <c r="AB46" i="19"/>
  <c r="X50" i="19"/>
  <c r="AB50" i="19" l="1"/>
  <c r="W51" i="19"/>
  <c r="W26" i="20"/>
  <c r="Z9" i="20"/>
  <c r="X44" i="19"/>
  <c r="X51" i="19" s="1"/>
  <c r="AB24" i="19"/>
  <c r="AB44" i="19" s="1"/>
  <c r="AB51" i="19" s="1"/>
  <c r="AB52" i="19" l="1"/>
  <c r="AB53" i="19" s="1"/>
  <c r="Z26" i="20"/>
  <c r="Z27" i="20" s="1"/>
  <c r="Z28" i="20" s="1"/>
</calcChain>
</file>

<file path=xl/comments1.xml><?xml version="1.0" encoding="utf-8"?>
<comments xmlns="http://schemas.openxmlformats.org/spreadsheetml/2006/main">
  <authors>
    <author>admin</author>
    <author>User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95%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 чол
</t>
        </r>
      </text>
    </comment>
    <comment ref="M26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10-0,5
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User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95%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 чол
</t>
        </r>
      </text>
    </comment>
    <comment ref="M18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10-0,5
</t>
        </r>
      </text>
    </comment>
    <comment ref="M26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10-0,5
</t>
        </r>
      </text>
    </comment>
    <comment ref="M32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10-0,5
</t>
        </r>
      </text>
    </comment>
  </commentList>
</comments>
</file>

<file path=xl/sharedStrings.xml><?xml version="1.0" encoding="utf-8"?>
<sst xmlns="http://schemas.openxmlformats.org/spreadsheetml/2006/main" count="325" uniqueCount="132">
  <si>
    <t>%</t>
  </si>
  <si>
    <t xml:space="preserve"> сума</t>
  </si>
  <si>
    <t>сума</t>
  </si>
  <si>
    <t>РОЗРЯД</t>
  </si>
  <si>
    <t>Секретар селищної ради</t>
  </si>
  <si>
    <t>Всього:</t>
  </si>
  <si>
    <t>Посадовий оклад з урахуванням штатних одиниць</t>
  </si>
  <si>
    <t>Посадовий оклад (тарифна ставка)</t>
  </si>
  <si>
    <t>Назва структурного підрозділу та посад</t>
  </si>
  <si>
    <t>№ з/п</t>
  </si>
  <si>
    <t>Адміністративно-педагогічний персонал:</t>
  </si>
  <si>
    <t>Педагог -організатор</t>
  </si>
  <si>
    <t>Практичний психолог</t>
  </si>
  <si>
    <t>Соціальний педагог</t>
  </si>
  <si>
    <t>Додаткова оплата  за перевірку зошитів</t>
  </si>
  <si>
    <t>Доплата а за класне керівництво</t>
  </si>
  <si>
    <t>Директор</t>
  </si>
  <si>
    <t>Секретар</t>
  </si>
  <si>
    <t>кількість ставок</t>
  </si>
  <si>
    <t>Сторож</t>
  </si>
  <si>
    <t>Оклад з урахуванням кількості ставок</t>
  </si>
  <si>
    <t>Кухар</t>
  </si>
  <si>
    <t>Комірник</t>
  </si>
  <si>
    <t>Двірник</t>
  </si>
  <si>
    <t>Надбавка за вислугу років</t>
  </si>
  <si>
    <t xml:space="preserve">Надбавка за             роботу в нічний час </t>
  </si>
  <si>
    <t>ФОП за 1 місяць</t>
  </si>
  <si>
    <t>ФОП  за місяць</t>
  </si>
  <si>
    <t>Медична сестра</t>
  </si>
  <si>
    <t>Додаткова оплата за завідування кабінетом</t>
  </si>
  <si>
    <t xml:space="preserve">Надбавка  за вислугу років                                     </t>
  </si>
  <si>
    <t>Доплата за книжковий фонд</t>
  </si>
  <si>
    <t>Кількість штатних од.</t>
  </si>
  <si>
    <t>виногорода зг. Ст 57</t>
  </si>
  <si>
    <t>премія</t>
  </si>
  <si>
    <t>Технічний персонал:</t>
  </si>
  <si>
    <t xml:space="preserve">Доплата  бібліотекарю </t>
  </si>
  <si>
    <t>за звання</t>
  </si>
  <si>
    <t xml:space="preserve">Додаток № 2  до рішення сесії №792-VІІ </t>
  </si>
  <si>
    <t>Заступник директора з виховної роботи</t>
  </si>
  <si>
    <t>Заступник директора з навчально-виховної роботи</t>
  </si>
  <si>
    <t>Керівник гуртка</t>
  </si>
  <si>
    <t>Вчитель початкових класів</t>
  </si>
  <si>
    <t>Вихователь ГПД</t>
  </si>
  <si>
    <t>Вчитель інформатики</t>
  </si>
  <si>
    <t>Вчитель музики</t>
  </si>
  <si>
    <t>Вчитель образотв. мистецтва</t>
  </si>
  <si>
    <t>Вчитель фізкультури</t>
  </si>
  <si>
    <t>Вчитель іноземної мови (англ.)</t>
  </si>
  <si>
    <t>Вчитель зарубіжної літератури</t>
  </si>
  <si>
    <t>Вчитель іноземної мови (нім.)</t>
  </si>
  <si>
    <t>Вчитель математики</t>
  </si>
  <si>
    <t>Вчитель історії</t>
  </si>
  <si>
    <t>Вчитель природознавства</t>
  </si>
  <si>
    <t>Вчитель основ здоров'я</t>
  </si>
  <si>
    <t>Вчитель трудового навчання</t>
  </si>
  <si>
    <t>Інженер-електронік</t>
  </si>
  <si>
    <t>Гардеробник</t>
  </si>
  <si>
    <t xml:space="preserve">Робітник з комплексного обслуговування й ремонту будівель </t>
  </si>
  <si>
    <t>Електромонтер з ремонту та обслуговування електроустаткування</t>
  </si>
  <si>
    <t>Підсобний робітник</t>
  </si>
  <si>
    <t>Прибиральник служб. приміщень</t>
  </si>
  <si>
    <t>Надбавка за складність та напруженість у роботі</t>
  </si>
  <si>
    <t xml:space="preserve">Доплата за прибирання туалетів </t>
  </si>
  <si>
    <t>Вихователь (з підвозу дітей)</t>
  </si>
  <si>
    <t xml:space="preserve"> </t>
  </si>
  <si>
    <t>Водій автобуса</t>
  </si>
  <si>
    <t>Підвищен-ня посадових окладів  на 10% зг.Пост. №22 від 11.01.18р.</t>
  </si>
  <si>
    <t>Надбавка  30% пед.працівникам  Постанова №373</t>
  </si>
  <si>
    <t>Вчителі (Держ. бюджет):</t>
  </si>
  <si>
    <t>Вчителі (Місц. бюджет):</t>
  </si>
  <si>
    <t>Всього ДБ:</t>
  </si>
  <si>
    <t>Всього МБ:</t>
  </si>
  <si>
    <t>Посадовий оклад (тарифна ставка з урахуванням підвищень)</t>
  </si>
  <si>
    <t>Вчитель біології</t>
  </si>
  <si>
    <t>Вчитель географії</t>
  </si>
  <si>
    <t>Премія щомісячна</t>
  </si>
  <si>
    <t>ЄСВ 22%</t>
  </si>
  <si>
    <t>Всього</t>
  </si>
  <si>
    <t>Вчитель фізики</t>
  </si>
  <si>
    <t>Вчитель хімії</t>
  </si>
  <si>
    <t>Завідувач господарством</t>
  </si>
  <si>
    <t xml:space="preserve"> МД на оздоровлення </t>
  </si>
  <si>
    <t>Доплата за ненормований робочий день</t>
  </si>
  <si>
    <t xml:space="preserve">Додаток № 2  до рішення сесії </t>
  </si>
  <si>
    <t>Завідувач бібліотекою</t>
  </si>
  <si>
    <t xml:space="preserve">Додаток № 3  до рішення сесії </t>
  </si>
  <si>
    <t>СТРУКТУРА ТА ЧИСЕЛЬНІСТЬ ПРАЦІВНИКІВ</t>
  </si>
  <si>
    <t>№</t>
  </si>
  <si>
    <t>Структурні підрозділи та</t>
  </si>
  <si>
    <t>Штатних одиниць</t>
  </si>
  <si>
    <t>посади</t>
  </si>
  <si>
    <t>(ставок)</t>
  </si>
  <si>
    <t>01. Адміністративно - педагогічний персонал</t>
  </si>
  <si>
    <t xml:space="preserve">Заступник директора </t>
  </si>
  <si>
    <t>02. Вчителі</t>
  </si>
  <si>
    <t>Вчителі</t>
  </si>
  <si>
    <t xml:space="preserve">Вихователі </t>
  </si>
  <si>
    <t>Робітники</t>
  </si>
  <si>
    <t>ВСЬОГО:</t>
  </si>
  <si>
    <t xml:space="preserve">Секретар селищної ради </t>
  </si>
  <si>
    <t xml:space="preserve">Додаток №1  до рішення сесії </t>
  </si>
  <si>
    <t>Інженер з охорони праці</t>
  </si>
  <si>
    <t>Професіонали та фахівці:</t>
  </si>
  <si>
    <t>Валентина ЩУР</t>
  </si>
  <si>
    <t>03.Професіонали і фахівці</t>
  </si>
  <si>
    <t>04.Технічний персонал</t>
  </si>
  <si>
    <t>Вчитель укр.мови та літератури</t>
  </si>
  <si>
    <r>
      <t xml:space="preserve">   ШТАТНИЙ   РОЗПИС  на 2023 рік  ( січень-серпень 2023 року)                                                                                                                                                                                                                                                    Закладу загальної середньої освіти "Авангардівська гімназія" (вводиться в дію з 01.01.2023р.)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Arial Cyr"/>
        <charset val="204"/>
      </rPr>
      <t xml:space="preserve"> </t>
    </r>
    <r>
      <rPr>
        <b/>
        <sz val="11"/>
        <rFont val="Arial Cyr"/>
        <charset val="204"/>
      </rPr>
      <t xml:space="preserve">МІН. з/п з 01.01.2023 р. -  6700,00  </t>
    </r>
    <r>
      <rPr>
        <b/>
        <i/>
        <sz val="11"/>
        <rFont val="Arial Cyr"/>
        <charset val="204"/>
      </rPr>
      <t xml:space="preserve"> (1 тарифний розряд -  2893,00 грн.)                </t>
    </r>
    <r>
      <rPr>
        <b/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</si>
  <si>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 xml:space="preserve">ЗП  за січень-серпень 2023р. </t>
  </si>
  <si>
    <t xml:space="preserve">Всього ФОП на січень-серпень 2023р. </t>
  </si>
  <si>
    <r>
      <t xml:space="preserve">   ШТАТНИЙ   РОЗПИС  на 2023 рік  ( вересень-грудень 2023 року)                                                                                                                                                                                                                                                    Закладу загальної середньої освіти "Авангардівська гімназія" (вводиться в дію з 01.09.2023р.)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Arial Cyr"/>
        <charset val="204"/>
      </rPr>
      <t xml:space="preserve"> </t>
    </r>
    <r>
      <rPr>
        <b/>
        <sz val="11"/>
        <rFont val="Arial Cyr"/>
        <charset val="204"/>
      </rPr>
      <t xml:space="preserve">МІН. з/п з 01.01.2023 р. -  6700,00  </t>
    </r>
    <r>
      <rPr>
        <b/>
        <i/>
        <sz val="11"/>
        <rFont val="Arial Cyr"/>
        <charset val="204"/>
      </rPr>
      <t xml:space="preserve"> (1 тарифний розряд -  2893,00 грн.)                </t>
    </r>
    <r>
      <rPr>
        <b/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</si>
  <si>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 xml:space="preserve">ЗП  за вересень-грудень 2023р. </t>
  </si>
  <si>
    <t xml:space="preserve">Всього ФОП на вересень-грудень 2023р. </t>
  </si>
  <si>
    <t>Вчитель укр.мови та літератури та зарубіжної  літератури</t>
  </si>
  <si>
    <t>Вчитель інтегрованого курсу літератур (української та зарубіжної)</t>
  </si>
  <si>
    <t>Вчитель інтегрованого курсу "Пізнаємо природу"</t>
  </si>
  <si>
    <t xml:space="preserve">Вчитель основ здоров'я </t>
  </si>
  <si>
    <t>Вчитель основ правознавства</t>
  </si>
  <si>
    <t>Вчитель трудового навчання, технологій</t>
  </si>
  <si>
    <t>ФОП  за січень-серпень 2023р.</t>
  </si>
  <si>
    <t>ФОП  за вересень-грудень 2023р.</t>
  </si>
  <si>
    <t>Шеф-кухар</t>
  </si>
  <si>
    <t>Сестра медична з дієтичного харчування</t>
  </si>
  <si>
    <t xml:space="preserve">Додаток № 5  до рішення сесії </t>
  </si>
  <si>
    <t xml:space="preserve">Додаток № 4  до рішення сесії </t>
  </si>
  <si>
    <t>на 01.09.2023 року</t>
  </si>
  <si>
    <t>Закладу загальної середньої освіти "Авангардівська гімназія" Авангардівської селищної ради</t>
  </si>
  <si>
    <t>№2175-VІII від   25.08.2023р.</t>
  </si>
  <si>
    <t>№ 2175-VЇІІ від   25.08.2023р.</t>
  </si>
  <si>
    <t>№2175-VІІІ від   25.08.2023р.</t>
  </si>
  <si>
    <t>№2175 -VІІІ від   25.08.2023р.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</si>
</sst>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₴"/>
    <numFmt numFmtId="165" formatCode="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sz val="9"/>
      <color indexed="10"/>
      <name val="Arial Cyr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u/>
      <sz val="8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i/>
      <u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3" fillId="0" borderId="0"/>
  </cellStyleXfs>
  <cellXfs count="349">
    <xf numFmtId="0" fontId="0" fillId="0" borderId="0" xfId="0"/>
    <xf numFmtId="0" fontId="4" fillId="0" borderId="0" xfId="0" applyFont="1" applyFill="1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0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left"/>
    </xf>
    <xf numFmtId="4" fontId="0" fillId="0" borderId="0" xfId="0" applyNumberFormat="1" applyFont="1" applyFill="1"/>
    <xf numFmtId="2" fontId="9" fillId="0" borderId="8" xfId="0" applyNumberFormat="1" applyFont="1" applyFill="1" applyBorder="1" applyAlignment="1">
      <alignment horizontal="center"/>
    </xf>
    <xf numFmtId="9" fontId="9" fillId="0" borderId="8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 wrapText="1"/>
    </xf>
    <xf numFmtId="4" fontId="6" fillId="0" borderId="0" xfId="0" applyNumberFormat="1" applyFont="1" applyFill="1"/>
    <xf numFmtId="4" fontId="6" fillId="0" borderId="0" xfId="0" applyNumberFormat="1" applyFont="1" applyFill="1" applyBorder="1"/>
    <xf numFmtId="9" fontId="0" fillId="0" borderId="0" xfId="0" applyNumberFormat="1" applyFont="1" applyFill="1"/>
    <xf numFmtId="9" fontId="11" fillId="0" borderId="0" xfId="0" applyNumberFormat="1" applyFont="1" applyFill="1" applyAlignment="1">
      <alignment horizontal="center" vertical="center" wrapText="1"/>
    </xf>
    <xf numFmtId="9" fontId="0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left"/>
    </xf>
    <xf numFmtId="9" fontId="0" fillId="0" borderId="0" xfId="0" applyNumberFormat="1" applyFont="1" applyFill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Alignment="1">
      <alignment horizontal="center"/>
    </xf>
    <xf numFmtId="4" fontId="18" fillId="0" borderId="0" xfId="0" applyNumberFormat="1" applyFont="1" applyFill="1"/>
    <xf numFmtId="0" fontId="4" fillId="0" borderId="11" xfId="0" applyFont="1" applyFill="1" applyBorder="1" applyAlignment="1">
      <alignment horizontal="center" vertical="center"/>
    </xf>
    <xf numFmtId="9" fontId="9" fillId="0" borderId="6" xfId="0" applyNumberFormat="1" applyFont="1" applyFill="1" applyBorder="1" applyAlignment="1">
      <alignment horizontal="center"/>
    </xf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9" fillId="0" borderId="6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/>
    <xf numFmtId="0" fontId="9" fillId="0" borderId="9" xfId="0" applyFont="1" applyFill="1" applyBorder="1" applyAlignment="1">
      <alignment horizont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9" fontId="9" fillId="0" borderId="24" xfId="0" applyNumberFormat="1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/>
    <xf numFmtId="4" fontId="9" fillId="0" borderId="25" xfId="0" applyNumberFormat="1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/>
    </xf>
    <xf numFmtId="9" fontId="17" fillId="0" borderId="32" xfId="0" applyNumberFormat="1" applyFont="1" applyFill="1" applyBorder="1" applyAlignment="1">
      <alignment vertical="center" textRotation="90" wrapText="1"/>
    </xf>
    <xf numFmtId="4" fontId="17" fillId="0" borderId="3" xfId="0" applyNumberFormat="1" applyFont="1" applyFill="1" applyBorder="1" applyAlignment="1">
      <alignment vertical="center" textRotation="90" wrapText="1"/>
    </xf>
    <xf numFmtId="9" fontId="17" fillId="0" borderId="3" xfId="0" applyNumberFormat="1" applyFont="1" applyFill="1" applyBorder="1" applyAlignment="1">
      <alignment vertical="center" textRotation="90" wrapText="1"/>
    </xf>
    <xf numFmtId="2" fontId="9" fillId="0" borderId="1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7" fillId="0" borderId="29" xfId="0" applyFont="1" applyFill="1" applyBorder="1" applyAlignment="1">
      <alignment horizontal="center" vertical="center" wrapText="1"/>
    </xf>
    <xf numFmtId="9" fontId="17" fillId="0" borderId="19" xfId="0" applyNumberFormat="1" applyFont="1" applyFill="1" applyBorder="1" applyAlignment="1">
      <alignment vertical="center" textRotation="90" wrapText="1"/>
    </xf>
    <xf numFmtId="4" fontId="17" fillId="0" borderId="15" xfId="0" applyNumberFormat="1" applyFont="1" applyFill="1" applyBorder="1" applyAlignment="1">
      <alignment vertical="center" textRotation="90" wrapText="1"/>
    </xf>
    <xf numFmtId="9" fontId="17" fillId="0" borderId="15" xfId="0" applyNumberFormat="1" applyFont="1" applyFill="1" applyBorder="1" applyAlignment="1">
      <alignment vertical="center" textRotation="90" wrapText="1"/>
    </xf>
    <xf numFmtId="0" fontId="17" fillId="0" borderId="53" xfId="0" applyFont="1" applyFill="1" applyBorder="1" applyAlignment="1">
      <alignment horizontal="center" vertical="center" wrapText="1"/>
    </xf>
    <xf numFmtId="4" fontId="17" fillId="0" borderId="5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0" fillId="0" borderId="0" xfId="0" applyNumberFormat="1" applyFont="1" applyFill="1"/>
    <xf numFmtId="4" fontId="9" fillId="0" borderId="55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2" fontId="9" fillId="0" borderId="8" xfId="0" applyNumberFormat="1" applyFont="1" applyFill="1" applyBorder="1" applyAlignment="1">
      <alignment horizontal="right"/>
    </xf>
    <xf numFmtId="9" fontId="9" fillId="0" borderId="8" xfId="0" applyNumberFormat="1" applyFont="1" applyFill="1" applyBorder="1" applyAlignment="1">
      <alignment horizontal="right"/>
    </xf>
    <xf numFmtId="2" fontId="9" fillId="0" borderId="8" xfId="0" applyNumberFormat="1" applyFont="1" applyFill="1" applyBorder="1" applyAlignment="1">
      <alignment horizontal="right" vertical="center"/>
    </xf>
    <xf numFmtId="9" fontId="9" fillId="0" borderId="8" xfId="0" applyNumberFormat="1" applyFont="1" applyFill="1" applyBorder="1" applyAlignment="1">
      <alignment horizontal="right" vertical="center"/>
    </xf>
    <xf numFmtId="2" fontId="9" fillId="0" borderId="16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/>
    </xf>
    <xf numFmtId="9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9" fontId="9" fillId="0" borderId="1" xfId="0" applyNumberFormat="1" applyFont="1" applyFill="1" applyBorder="1" applyAlignment="1">
      <alignment horizontal="right"/>
    </xf>
    <xf numFmtId="9" fontId="9" fillId="2" borderId="8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 horizontal="right"/>
    </xf>
    <xf numFmtId="1" fontId="3" fillId="0" borderId="0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right"/>
    </xf>
    <xf numFmtId="0" fontId="9" fillId="0" borderId="33" xfId="0" applyFont="1" applyFill="1" applyBorder="1"/>
    <xf numFmtId="2" fontId="9" fillId="0" borderId="12" xfId="0" applyNumberFormat="1" applyFont="1" applyFill="1" applyBorder="1" applyAlignment="1">
      <alignment horizontal="center"/>
    </xf>
    <xf numFmtId="2" fontId="0" fillId="0" borderId="0" xfId="0" applyNumberFormat="1" applyFill="1"/>
    <xf numFmtId="0" fontId="20" fillId="0" borderId="1" xfId="0" applyFont="1" applyFill="1" applyBorder="1" applyAlignment="1">
      <alignment horizontal="center"/>
    </xf>
    <xf numFmtId="1" fontId="20" fillId="0" borderId="20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/>
    </xf>
    <xf numFmtId="1" fontId="20" fillId="0" borderId="6" xfId="0" applyNumberFormat="1" applyFont="1" applyFill="1" applyBorder="1" applyAlignment="1">
      <alignment horizontal="center"/>
    </xf>
    <xf numFmtId="1" fontId="20" fillId="0" borderId="2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right"/>
    </xf>
    <xf numFmtId="0" fontId="2" fillId="0" borderId="7" xfId="0" applyFont="1" applyFill="1" applyBorder="1" applyAlignment="1">
      <alignment horizontal="center"/>
    </xf>
    <xf numFmtId="1" fontId="2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Fill="1"/>
    <xf numFmtId="4" fontId="9" fillId="0" borderId="26" xfId="0" applyNumberFormat="1" applyFont="1" applyFill="1" applyBorder="1" applyAlignment="1">
      <alignment horizontal="right" vertical="center"/>
    </xf>
    <xf numFmtId="4" fontId="2" fillId="0" borderId="0" xfId="0" applyNumberFormat="1" applyFon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0" fontId="2" fillId="0" borderId="16" xfId="0" applyFont="1" applyFill="1" applyBorder="1"/>
    <xf numFmtId="4" fontId="17" fillId="0" borderId="39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2" fontId="2" fillId="0" borderId="20" xfId="0" applyNumberFormat="1" applyFont="1" applyFill="1" applyBorder="1"/>
    <xf numFmtId="4" fontId="9" fillId="0" borderId="22" xfId="0" applyNumberFormat="1" applyFont="1" applyFill="1" applyBorder="1"/>
    <xf numFmtId="4" fontId="9" fillId="0" borderId="18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57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 horizontal="right"/>
    </xf>
    <xf numFmtId="0" fontId="1" fillId="0" borderId="0" xfId="1"/>
    <xf numFmtId="0" fontId="23" fillId="0" borderId="0" xfId="2"/>
    <xf numFmtId="0" fontId="1" fillId="0" borderId="0" xfId="1" applyAlignment="1">
      <alignment horizontal="center"/>
    </xf>
    <xf numFmtId="0" fontId="11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4" fillId="0" borderId="0" xfId="1" applyFont="1"/>
    <xf numFmtId="0" fontId="11" fillId="0" borderId="21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24" fillId="0" borderId="8" xfId="1" applyFont="1" applyBorder="1" applyAlignment="1">
      <alignment horizontal="center"/>
    </xf>
    <xf numFmtId="0" fontId="25" fillId="0" borderId="20" xfId="1" applyFont="1" applyBorder="1" applyAlignment="1">
      <alignment horizontal="left"/>
    </xf>
    <xf numFmtId="0" fontId="24" fillId="0" borderId="1" xfId="1" applyFont="1" applyBorder="1" applyAlignment="1">
      <alignment horizontal="center"/>
    </xf>
    <xf numFmtId="0" fontId="25" fillId="0" borderId="20" xfId="2" applyFont="1" applyFill="1" applyBorder="1" applyAlignment="1">
      <alignment horizontal="left" vertical="center"/>
    </xf>
    <xf numFmtId="0" fontId="25" fillId="0" borderId="20" xfId="2" applyFont="1" applyFill="1" applyBorder="1" applyAlignment="1"/>
    <xf numFmtId="0" fontId="24" fillId="0" borderId="20" xfId="1" applyFont="1" applyBorder="1" applyAlignment="1">
      <alignment horizontal="left"/>
    </xf>
    <xf numFmtId="0" fontId="24" fillId="0" borderId="20" xfId="1" applyFont="1" applyBorder="1" applyAlignment="1">
      <alignment horizontal="center"/>
    </xf>
    <xf numFmtId="0" fontId="24" fillId="0" borderId="20" xfId="2" applyFont="1" applyFill="1" applyBorder="1" applyAlignment="1"/>
    <xf numFmtId="0" fontId="27" fillId="0" borderId="1" xfId="2" applyFont="1" applyBorder="1" applyAlignment="1">
      <alignment horizontal="center"/>
    </xf>
    <xf numFmtId="0" fontId="28" fillId="0" borderId="20" xfId="2" applyFont="1" applyBorder="1" applyAlignment="1"/>
    <xf numFmtId="2" fontId="11" fillId="0" borderId="1" xfId="1" applyNumberFormat="1" applyFont="1" applyBorder="1" applyAlignment="1">
      <alignment horizontal="center"/>
    </xf>
    <xf numFmtId="0" fontId="0" fillId="0" borderId="0" xfId="1" applyFont="1"/>
    <xf numFmtId="0" fontId="0" fillId="0" borderId="0" xfId="1" applyFont="1" applyAlignment="1"/>
    <xf numFmtId="4" fontId="25" fillId="0" borderId="0" xfId="0" applyNumberFormat="1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textRotation="90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0" fillId="0" borderId="49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" fontId="0" fillId="0" borderId="5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0" fontId="7" fillId="0" borderId="8" xfId="0" applyFont="1" applyFill="1" applyBorder="1"/>
    <xf numFmtId="0" fontId="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9" fillId="2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29" fillId="0" borderId="6" xfId="0" applyFont="1" applyFill="1" applyBorder="1" applyAlignment="1">
      <alignment horizontal="center"/>
    </xf>
    <xf numFmtId="0" fontId="7" fillId="0" borderId="6" xfId="0" applyFont="1" applyFill="1" applyBorder="1"/>
    <xf numFmtId="2" fontId="2" fillId="0" borderId="1" xfId="0" applyNumberFormat="1" applyFont="1" applyFill="1" applyBorder="1" applyAlignment="1">
      <alignment horizontal="center"/>
    </xf>
    <xf numFmtId="9" fontId="9" fillId="2" borderId="1" xfId="0" applyNumberFormat="1" applyFont="1" applyFill="1" applyBorder="1" applyAlignment="1">
      <alignment horizontal="right"/>
    </xf>
    <xf numFmtId="2" fontId="9" fillId="2" borderId="8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0" fontId="0" fillId="0" borderId="0" xfId="0" applyFill="1" applyAlignment="1"/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6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/>
    <xf numFmtId="0" fontId="6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1" fillId="0" borderId="20" xfId="1" applyFont="1" applyBorder="1" applyAlignment="1">
      <alignment horizontal="center"/>
    </xf>
    <xf numFmtId="0" fontId="26" fillId="0" borderId="57" xfId="2" applyFont="1" applyBorder="1" applyAlignment="1"/>
    <xf numFmtId="0" fontId="26" fillId="0" borderId="24" xfId="2" applyFont="1" applyBorder="1" applyAlignment="1"/>
    <xf numFmtId="0" fontId="11" fillId="0" borderId="20" xfId="1" applyFont="1" applyBorder="1" applyAlignment="1">
      <alignment horizontal="left"/>
    </xf>
    <xf numFmtId="0" fontId="11" fillId="0" borderId="57" xfId="1" applyFont="1" applyBorder="1" applyAlignment="1">
      <alignment horizontal="left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23" fillId="0" borderId="62" xfId="2" applyBorder="1" applyAlignment="1">
      <alignment horizontal="center"/>
    </xf>
    <xf numFmtId="0" fontId="23" fillId="0" borderId="63" xfId="2" applyBorder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/>
    <xf numFmtId="0" fontId="2" fillId="0" borderId="0" xfId="0" applyFont="1" applyFill="1" applyAlignment="1"/>
    <xf numFmtId="0" fontId="0" fillId="0" borderId="0" xfId="0" applyAlignment="1"/>
    <xf numFmtId="0" fontId="6" fillId="0" borderId="0" xfId="0" applyFont="1" applyFill="1" applyAlignment="1">
      <alignment horizontal="center"/>
    </xf>
    <xf numFmtId="4" fontId="9" fillId="0" borderId="35" xfId="0" applyNumberFormat="1" applyFont="1" applyFill="1" applyBorder="1" applyAlignment="1">
      <alignment horizontal="center" vertical="center" textRotation="90" wrapText="1"/>
    </xf>
    <xf numFmtId="4" fontId="9" fillId="0" borderId="21" xfId="0" applyNumberFormat="1" applyFont="1" applyFill="1" applyBorder="1" applyAlignment="1">
      <alignment horizontal="center" vertical="center" textRotation="90" wrapText="1"/>
    </xf>
    <xf numFmtId="4" fontId="9" fillId="0" borderId="4" xfId="0" applyNumberFormat="1" applyFont="1" applyFill="1" applyBorder="1" applyAlignment="1">
      <alignment horizontal="center" vertical="center" textRotation="90" wrapText="1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4" fontId="19" fillId="0" borderId="41" xfId="0" applyNumberFormat="1" applyFont="1" applyFill="1" applyBorder="1" applyAlignment="1">
      <alignment horizontal="center" vertical="center" wrapText="1"/>
    </xf>
    <xf numFmtId="4" fontId="9" fillId="0" borderId="34" xfId="0" applyNumberFormat="1" applyFont="1" applyFill="1" applyBorder="1" applyAlignment="1">
      <alignment horizontal="center" vertical="center" textRotation="90" wrapText="1"/>
    </xf>
    <xf numFmtId="4" fontId="9" fillId="0" borderId="3" xfId="0" applyNumberFormat="1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Alignment="1"/>
    <xf numFmtId="0" fontId="5" fillId="0" borderId="38" xfId="0" applyFont="1" applyFill="1" applyBorder="1" applyAlignment="1">
      <alignment horizontal="center" vertical="center" wrapText="1"/>
    </xf>
    <xf numFmtId="0" fontId="0" fillId="0" borderId="0" xfId="0"/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textRotation="90" wrapText="1"/>
    </xf>
    <xf numFmtId="0" fontId="0" fillId="0" borderId="48" xfId="0" applyFont="1" applyFill="1" applyBorder="1" applyAlignment="1">
      <alignment horizontal="center" vertical="center" textRotation="90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textRotation="90" wrapText="1"/>
    </xf>
    <xf numFmtId="4" fontId="5" fillId="0" borderId="37" xfId="0" applyNumberFormat="1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" fontId="17" fillId="0" borderId="47" xfId="0" applyNumberFormat="1" applyFont="1" applyFill="1" applyBorder="1" applyAlignment="1">
      <alignment horizontal="center" vertical="center" wrapText="1"/>
    </xf>
    <xf numFmtId="4" fontId="17" fillId="0" borderId="48" xfId="0" applyNumberFormat="1" applyFont="1" applyFill="1" applyBorder="1" applyAlignment="1">
      <alignment horizontal="center" vertical="center" wrapText="1"/>
    </xf>
    <xf numFmtId="4" fontId="19" fillId="0" borderId="60" xfId="0" applyNumberFormat="1" applyFont="1" applyFill="1" applyBorder="1" applyAlignment="1">
      <alignment horizontal="center" vertical="center" wrapText="1"/>
    </xf>
    <xf numFmtId="4" fontId="19" fillId="0" borderId="61" xfId="0" applyNumberFormat="1" applyFont="1" applyFill="1" applyBorder="1" applyAlignment="1">
      <alignment horizontal="center" vertical="center" wrapText="1"/>
    </xf>
    <xf numFmtId="4" fontId="9" fillId="0" borderId="56" xfId="0" applyNumberFormat="1" applyFont="1" applyFill="1" applyBorder="1" applyAlignment="1">
      <alignment horizontal="center" vertical="center" textRotation="90" wrapText="1"/>
    </xf>
    <xf numFmtId="4" fontId="9" fillId="0" borderId="59" xfId="0" applyNumberFormat="1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4" fontId="3" fillId="0" borderId="47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textRotation="90" wrapText="1"/>
    </xf>
    <xf numFmtId="0" fontId="16" fillId="0" borderId="50" xfId="0" applyFont="1" applyFill="1" applyBorder="1" applyAlignment="1">
      <alignment horizontal="center" vertical="center" textRotation="90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horizontal="center" vertical="center" wrapText="1"/>
    </xf>
    <xf numFmtId="4" fontId="17" fillId="0" borderId="34" xfId="0" applyNumberFormat="1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28" workbookViewId="0">
      <selection activeCell="D2" sqref="D2"/>
    </sheetView>
  </sheetViews>
  <sheetFormatPr defaultColWidth="8.85546875" defaultRowHeight="15" x14ac:dyDescent="0.25"/>
  <cols>
    <col min="1" max="1" width="4.28515625" style="191" customWidth="1"/>
    <col min="2" max="2" width="8.85546875" style="191"/>
    <col min="3" max="3" width="42.7109375" style="191" customWidth="1"/>
    <col min="4" max="4" width="22.140625" style="191" customWidth="1"/>
    <col min="5" max="16384" width="8.85546875" style="191"/>
  </cols>
  <sheetData>
    <row r="1" spans="1:4" x14ac:dyDescent="0.25">
      <c r="A1" s="190"/>
      <c r="B1" s="190"/>
      <c r="C1" s="190"/>
      <c r="D1" s="211" t="s">
        <v>101</v>
      </c>
    </row>
    <row r="2" spans="1:4" x14ac:dyDescent="0.25">
      <c r="A2" s="190"/>
      <c r="B2" s="190"/>
      <c r="C2" s="190"/>
      <c r="D2" s="212" t="s">
        <v>128</v>
      </c>
    </row>
    <row r="8" spans="1:4" ht="15.75" x14ac:dyDescent="0.25">
      <c r="A8" s="274" t="s">
        <v>87</v>
      </c>
      <c r="B8" s="274"/>
      <c r="C8" s="274"/>
      <c r="D8" s="274"/>
    </row>
    <row r="9" spans="1:4" ht="8.25" customHeight="1" x14ac:dyDescent="0.25">
      <c r="A9" s="192"/>
      <c r="B9" s="193"/>
      <c r="C9" s="193"/>
      <c r="D9" s="194"/>
    </row>
    <row r="10" spans="1:4" ht="39.6" customHeight="1" x14ac:dyDescent="0.25">
      <c r="A10" s="275" t="s">
        <v>127</v>
      </c>
      <c r="B10" s="275"/>
      <c r="C10" s="275"/>
      <c r="D10" s="275"/>
    </row>
    <row r="11" spans="1:4" ht="1.5" hidden="1" customHeight="1" x14ac:dyDescent="0.25">
      <c r="A11" s="275"/>
      <c r="B11" s="275"/>
      <c r="C11" s="275"/>
      <c r="D11" s="275"/>
    </row>
    <row r="12" spans="1:4" ht="3.75" customHeight="1" x14ac:dyDescent="0.25">
      <c r="A12" s="192"/>
      <c r="B12" s="193"/>
      <c r="C12" s="193"/>
      <c r="D12" s="194"/>
    </row>
    <row r="13" spans="1:4" ht="17.25" customHeight="1" x14ac:dyDescent="0.25">
      <c r="A13" s="274" t="s">
        <v>126</v>
      </c>
      <c r="B13" s="274"/>
      <c r="C13" s="274"/>
      <c r="D13" s="274"/>
    </row>
    <row r="14" spans="1:4" ht="15.75" x14ac:dyDescent="0.25">
      <c r="A14" s="190"/>
      <c r="B14" s="195"/>
      <c r="C14" s="195"/>
      <c r="D14" s="195"/>
    </row>
    <row r="15" spans="1:4" ht="15.75" x14ac:dyDescent="0.25">
      <c r="A15" s="190"/>
      <c r="B15" s="195"/>
      <c r="C15" s="195"/>
      <c r="D15" s="195"/>
    </row>
    <row r="16" spans="1:4" ht="15.75" x14ac:dyDescent="0.25">
      <c r="A16" s="190"/>
      <c r="B16" s="276" t="s">
        <v>88</v>
      </c>
      <c r="C16" s="196" t="s">
        <v>89</v>
      </c>
      <c r="D16" s="197" t="s">
        <v>90</v>
      </c>
    </row>
    <row r="17" spans="2:4" ht="15.75" x14ac:dyDescent="0.25">
      <c r="B17" s="277"/>
      <c r="C17" s="198" t="s">
        <v>91</v>
      </c>
      <c r="D17" s="199" t="s">
        <v>92</v>
      </c>
    </row>
    <row r="18" spans="2:4" ht="15.75" x14ac:dyDescent="0.25">
      <c r="B18" s="278" t="s">
        <v>93</v>
      </c>
      <c r="C18" s="279"/>
      <c r="D18" s="280"/>
    </row>
    <row r="19" spans="2:4" ht="15.75" x14ac:dyDescent="0.25">
      <c r="B19" s="200">
        <v>1</v>
      </c>
      <c r="C19" s="201" t="s">
        <v>16</v>
      </c>
      <c r="D19" s="200">
        <v>1</v>
      </c>
    </row>
    <row r="20" spans="2:4" ht="15.75" x14ac:dyDescent="0.25">
      <c r="B20" s="202">
        <v>2</v>
      </c>
      <c r="C20" s="203" t="s">
        <v>94</v>
      </c>
      <c r="D20" s="202">
        <v>2</v>
      </c>
    </row>
    <row r="21" spans="2:4" ht="15.75" x14ac:dyDescent="0.25">
      <c r="B21" s="202">
        <v>3</v>
      </c>
      <c r="C21" s="204" t="s">
        <v>11</v>
      </c>
      <c r="D21" s="202">
        <v>1</v>
      </c>
    </row>
    <row r="22" spans="2:4" ht="15.75" x14ac:dyDescent="0.25">
      <c r="B22" s="202">
        <v>4</v>
      </c>
      <c r="C22" s="204" t="s">
        <v>12</v>
      </c>
      <c r="D22" s="202">
        <v>0.5</v>
      </c>
    </row>
    <row r="23" spans="2:4" ht="15.75" x14ac:dyDescent="0.25">
      <c r="B23" s="202">
        <v>5</v>
      </c>
      <c r="C23" s="204" t="s">
        <v>13</v>
      </c>
      <c r="D23" s="202">
        <v>0.5</v>
      </c>
    </row>
    <row r="24" spans="2:4" ht="15.75" x14ac:dyDescent="0.25">
      <c r="B24" s="269" t="s">
        <v>95</v>
      </c>
      <c r="C24" s="270"/>
      <c r="D24" s="271"/>
    </row>
    <row r="25" spans="2:4" ht="15.75" x14ac:dyDescent="0.25">
      <c r="B25" s="202">
        <v>6</v>
      </c>
      <c r="C25" s="205" t="s">
        <v>96</v>
      </c>
      <c r="D25" s="202">
        <v>50.94</v>
      </c>
    </row>
    <row r="26" spans="2:4" ht="15.75" x14ac:dyDescent="0.25">
      <c r="B26" s="202">
        <v>7</v>
      </c>
      <c r="C26" s="205" t="s">
        <v>97</v>
      </c>
      <c r="D26" s="202">
        <v>6.5</v>
      </c>
    </row>
    <row r="27" spans="2:4" ht="15.75" x14ac:dyDescent="0.25">
      <c r="B27" s="202">
        <v>8</v>
      </c>
      <c r="C27" s="205" t="s">
        <v>41</v>
      </c>
      <c r="D27" s="202">
        <v>1</v>
      </c>
    </row>
    <row r="28" spans="2:4" ht="15.75" x14ac:dyDescent="0.25">
      <c r="B28" s="269" t="s">
        <v>105</v>
      </c>
      <c r="C28" s="270"/>
      <c r="D28" s="271"/>
    </row>
    <row r="29" spans="2:4" ht="15.75" x14ac:dyDescent="0.25">
      <c r="B29" s="206">
        <v>9</v>
      </c>
      <c r="C29" s="207" t="s">
        <v>85</v>
      </c>
      <c r="D29" s="208">
        <v>1</v>
      </c>
    </row>
    <row r="30" spans="2:4" ht="15.75" x14ac:dyDescent="0.25">
      <c r="B30" s="206">
        <v>10</v>
      </c>
      <c r="C30" s="209" t="s">
        <v>81</v>
      </c>
      <c r="D30" s="208">
        <v>1</v>
      </c>
    </row>
    <row r="31" spans="2:4" ht="15.75" x14ac:dyDescent="0.25">
      <c r="B31" s="206">
        <f>B30+1</f>
        <v>11</v>
      </c>
      <c r="C31" s="209" t="s">
        <v>102</v>
      </c>
      <c r="D31" s="208">
        <v>1</v>
      </c>
    </row>
    <row r="32" spans="2:4" ht="15.75" x14ac:dyDescent="0.25">
      <c r="B32" s="206">
        <f t="shared" ref="B32" si="0">B31+1</f>
        <v>12</v>
      </c>
      <c r="C32" s="209" t="s">
        <v>56</v>
      </c>
      <c r="D32" s="208">
        <v>0.5</v>
      </c>
    </row>
    <row r="33" spans="2:4" ht="15.75" x14ac:dyDescent="0.25">
      <c r="B33" s="206">
        <v>13</v>
      </c>
      <c r="C33" s="209" t="s">
        <v>123</v>
      </c>
      <c r="D33" s="208">
        <v>1</v>
      </c>
    </row>
    <row r="34" spans="2:4" ht="15.75" x14ac:dyDescent="0.25">
      <c r="B34" s="206">
        <v>14</v>
      </c>
      <c r="C34" s="205" t="s">
        <v>28</v>
      </c>
      <c r="D34" s="208">
        <v>1</v>
      </c>
    </row>
    <row r="35" spans="2:4" ht="15.75" x14ac:dyDescent="0.25">
      <c r="B35" s="269" t="s">
        <v>106</v>
      </c>
      <c r="C35" s="270"/>
      <c r="D35" s="271"/>
    </row>
    <row r="36" spans="2:4" ht="15.75" x14ac:dyDescent="0.25">
      <c r="B36" s="202">
        <v>15</v>
      </c>
      <c r="C36" s="205" t="s">
        <v>98</v>
      </c>
      <c r="D36" s="202">
        <v>15</v>
      </c>
    </row>
    <row r="37" spans="2:4" ht="15.75" x14ac:dyDescent="0.25">
      <c r="B37" s="272" t="s">
        <v>99</v>
      </c>
      <c r="C37" s="273"/>
      <c r="D37" s="210">
        <f>SUM(D19:D36)</f>
        <v>83.94</v>
      </c>
    </row>
    <row r="38" spans="2:4" ht="15.75" x14ac:dyDescent="0.25">
      <c r="B38" s="195"/>
      <c r="C38" s="195"/>
      <c r="D38" s="195"/>
    </row>
    <row r="39" spans="2:4" ht="15.75" x14ac:dyDescent="0.25">
      <c r="B39" s="195"/>
      <c r="C39" s="195"/>
      <c r="D39" s="195"/>
    </row>
    <row r="40" spans="2:4" ht="15.75" x14ac:dyDescent="0.25">
      <c r="B40" s="195"/>
      <c r="C40" s="195"/>
      <c r="D40" s="195"/>
    </row>
    <row r="41" spans="2:4" ht="15.75" x14ac:dyDescent="0.25">
      <c r="B41" s="195" t="s">
        <v>100</v>
      </c>
      <c r="C41" s="195"/>
      <c r="D41" s="213" t="s">
        <v>104</v>
      </c>
    </row>
    <row r="42" spans="2:4" ht="15.75" x14ac:dyDescent="0.25">
      <c r="B42" s="195"/>
      <c r="C42" s="195"/>
      <c r="D42" s="195"/>
    </row>
    <row r="43" spans="2:4" ht="15.75" x14ac:dyDescent="0.25">
      <c r="B43" s="195"/>
      <c r="C43" s="195"/>
      <c r="D43" s="195"/>
    </row>
    <row r="44" spans="2:4" ht="15.75" x14ac:dyDescent="0.25">
      <c r="B44" s="195"/>
      <c r="C44" s="195"/>
      <c r="D44" s="195"/>
    </row>
    <row r="45" spans="2:4" ht="15.75" x14ac:dyDescent="0.25">
      <c r="B45" s="195"/>
      <c r="C45" s="195"/>
      <c r="D45" s="195"/>
    </row>
    <row r="46" spans="2:4" ht="15.75" x14ac:dyDescent="0.25">
      <c r="B46" s="195"/>
      <c r="C46" s="195"/>
      <c r="D46" s="195"/>
    </row>
    <row r="47" spans="2:4" ht="15.75" x14ac:dyDescent="0.25">
      <c r="B47" s="195"/>
      <c r="C47" s="195"/>
      <c r="D47" s="195"/>
    </row>
    <row r="48" spans="2:4" ht="15.75" x14ac:dyDescent="0.25">
      <c r="B48" s="195"/>
      <c r="C48" s="195"/>
      <c r="D48" s="195"/>
    </row>
    <row r="49" spans="2:4" ht="15.75" x14ac:dyDescent="0.25">
      <c r="B49" s="195"/>
      <c r="C49" s="195"/>
      <c r="D49" s="195"/>
    </row>
    <row r="50" spans="2:4" ht="15.75" x14ac:dyDescent="0.25">
      <c r="B50" s="195"/>
      <c r="C50" s="195"/>
      <c r="D50" s="195"/>
    </row>
  </sheetData>
  <mergeCells count="9">
    <mergeCell ref="B35:D35"/>
    <mergeCell ref="B37:C37"/>
    <mergeCell ref="A8:D8"/>
    <mergeCell ref="A10:D11"/>
    <mergeCell ref="A13:D13"/>
    <mergeCell ref="B16:B17"/>
    <mergeCell ref="B18:D18"/>
    <mergeCell ref="B24:D24"/>
    <mergeCell ref="B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20"/>
  <sheetViews>
    <sheetView zoomScale="90" zoomScaleNormal="90" workbookViewId="0">
      <selection activeCell="X3" sqref="X3:AB3"/>
    </sheetView>
  </sheetViews>
  <sheetFormatPr defaultColWidth="9.140625" defaultRowHeight="12.75" x14ac:dyDescent="0.2"/>
  <cols>
    <col min="1" max="1" width="4" style="5" customWidth="1"/>
    <col min="2" max="2" width="28.85546875" style="4" customWidth="1"/>
    <col min="3" max="3" width="4.28515625" style="3" customWidth="1"/>
    <col min="4" max="4" width="7.7109375" style="3" customWidth="1"/>
    <col min="5" max="5" width="8" style="3" customWidth="1"/>
    <col min="6" max="6" width="9.28515625" style="33" customWidth="1"/>
    <col min="7" max="7" width="8.85546875" style="3" customWidth="1"/>
    <col min="8" max="8" width="9.85546875" style="3" customWidth="1"/>
    <col min="9" max="9" width="4.140625" style="3" customWidth="1"/>
    <col min="10" max="10" width="9.28515625" style="3" customWidth="1"/>
    <col min="11" max="11" width="4.42578125" style="3" customWidth="1"/>
    <col min="12" max="12" width="10.28515625" style="4" customWidth="1"/>
    <col min="13" max="13" width="4.85546875" style="4" customWidth="1"/>
    <col min="14" max="14" width="7.85546875" style="4" customWidth="1"/>
    <col min="15" max="15" width="4.140625" style="4" customWidth="1"/>
    <col min="16" max="16" width="8.5703125" style="4" customWidth="1"/>
    <col min="17" max="17" width="4.140625" style="4" customWidth="1"/>
    <col min="18" max="18" width="9.28515625" style="4" customWidth="1"/>
    <col min="19" max="19" width="4.5703125" style="4" customWidth="1"/>
    <col min="20" max="20" width="9.140625" style="4" customWidth="1"/>
    <col min="21" max="21" width="6.5703125" style="4" customWidth="1"/>
    <col min="22" max="22" width="9" style="4" customWidth="1"/>
    <col min="23" max="23" width="10.28515625" style="48" customWidth="1"/>
    <col min="24" max="24" width="11.42578125" style="60" customWidth="1"/>
    <col min="25" max="25" width="10.7109375" style="4" customWidth="1"/>
    <col min="26" max="26" width="10.28515625" style="4" customWidth="1"/>
    <col min="27" max="27" width="11.5703125" style="4" customWidth="1"/>
    <col min="28" max="28" width="12.42578125" style="4" customWidth="1"/>
    <col min="29" max="29" width="9.7109375" style="4" customWidth="1"/>
    <col min="30" max="30" width="10.42578125" style="4" bestFit="1" customWidth="1"/>
    <col min="31" max="16384" width="9.140625" style="4"/>
  </cols>
  <sheetData>
    <row r="1" spans="1:32" x14ac:dyDescent="0.2">
      <c r="V1" s="170"/>
      <c r="W1" s="170"/>
    </row>
    <row r="2" spans="1:32" x14ac:dyDescent="0.2">
      <c r="R2" s="171"/>
      <c r="S2" s="171"/>
      <c r="V2" s="281"/>
      <c r="W2" s="282"/>
      <c r="X2" s="179" t="s">
        <v>84</v>
      </c>
      <c r="Y2" s="179"/>
      <c r="Z2" s="179"/>
      <c r="AA2" s="1"/>
      <c r="AB2" s="1"/>
    </row>
    <row r="3" spans="1:32" x14ac:dyDescent="0.2">
      <c r="R3" s="283"/>
      <c r="S3" s="283"/>
      <c r="T3" s="284"/>
      <c r="U3" s="284"/>
      <c r="X3" s="302" t="s">
        <v>129</v>
      </c>
      <c r="Y3" s="302"/>
      <c r="Z3" s="302"/>
      <c r="AA3" s="303"/>
      <c r="AB3" s="303"/>
    </row>
    <row r="6" spans="1:32" x14ac:dyDescent="0.2">
      <c r="R6" s="171"/>
      <c r="S6" s="171"/>
    </row>
    <row r="7" spans="1:32" ht="49.5" customHeight="1" thickBot="1" x14ac:dyDescent="0.25">
      <c r="A7" s="304" t="s">
        <v>108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</row>
    <row r="8" spans="1:32" ht="57" customHeight="1" x14ac:dyDescent="0.2">
      <c r="A8" s="306" t="s">
        <v>9</v>
      </c>
      <c r="B8" s="308" t="s">
        <v>8</v>
      </c>
      <c r="C8" s="310" t="s">
        <v>3</v>
      </c>
      <c r="D8" s="312" t="s">
        <v>7</v>
      </c>
      <c r="E8" s="314" t="s">
        <v>67</v>
      </c>
      <c r="F8" s="312" t="s">
        <v>73</v>
      </c>
      <c r="G8" s="298" t="s">
        <v>32</v>
      </c>
      <c r="H8" s="300" t="s">
        <v>6</v>
      </c>
      <c r="I8" s="318" t="s">
        <v>30</v>
      </c>
      <c r="J8" s="319"/>
      <c r="K8" s="291" t="s">
        <v>62</v>
      </c>
      <c r="L8" s="292"/>
      <c r="M8" s="291" t="s">
        <v>37</v>
      </c>
      <c r="N8" s="292"/>
      <c r="O8" s="291" t="s">
        <v>15</v>
      </c>
      <c r="P8" s="292"/>
      <c r="Q8" s="291" t="s">
        <v>14</v>
      </c>
      <c r="R8" s="292"/>
      <c r="S8" s="291" t="s">
        <v>29</v>
      </c>
      <c r="T8" s="293"/>
      <c r="U8" s="291" t="s">
        <v>68</v>
      </c>
      <c r="V8" s="293"/>
      <c r="W8" s="294" t="s">
        <v>27</v>
      </c>
      <c r="X8" s="294" t="s">
        <v>109</v>
      </c>
      <c r="Y8" s="296" t="s">
        <v>33</v>
      </c>
      <c r="Z8" s="286" t="s">
        <v>82</v>
      </c>
      <c r="AA8" s="286" t="s">
        <v>34</v>
      </c>
      <c r="AB8" s="316" t="s">
        <v>110</v>
      </c>
    </row>
    <row r="9" spans="1:32" ht="28.5" customHeight="1" thickBot="1" x14ac:dyDescent="0.25">
      <c r="A9" s="307"/>
      <c r="B9" s="309"/>
      <c r="C9" s="311"/>
      <c r="D9" s="313"/>
      <c r="E9" s="315"/>
      <c r="F9" s="313"/>
      <c r="G9" s="299"/>
      <c r="H9" s="301"/>
      <c r="I9" s="175" t="s">
        <v>0</v>
      </c>
      <c r="J9" s="175" t="s">
        <v>1</v>
      </c>
      <c r="K9" s="175" t="s">
        <v>0</v>
      </c>
      <c r="L9" s="175" t="s">
        <v>2</v>
      </c>
      <c r="M9" s="175" t="s">
        <v>0</v>
      </c>
      <c r="N9" s="175" t="s">
        <v>2</v>
      </c>
      <c r="O9" s="175" t="s">
        <v>0</v>
      </c>
      <c r="P9" s="175" t="s">
        <v>2</v>
      </c>
      <c r="Q9" s="175" t="s">
        <v>0</v>
      </c>
      <c r="R9" s="175" t="s">
        <v>2</v>
      </c>
      <c r="S9" s="175" t="s">
        <v>0</v>
      </c>
      <c r="T9" s="18" t="s">
        <v>2</v>
      </c>
      <c r="U9" s="175" t="s">
        <v>0</v>
      </c>
      <c r="V9" s="18" t="s">
        <v>2</v>
      </c>
      <c r="W9" s="295"/>
      <c r="X9" s="295"/>
      <c r="Y9" s="297"/>
      <c r="Z9" s="287"/>
      <c r="AA9" s="288"/>
      <c r="AB9" s="317"/>
    </row>
    <row r="10" spans="1:32" ht="31.5" customHeight="1" x14ac:dyDescent="0.2">
      <c r="A10" s="214"/>
      <c r="B10" s="215" t="s">
        <v>10</v>
      </c>
      <c r="C10" s="216"/>
      <c r="D10" s="216"/>
      <c r="E10" s="216"/>
      <c r="F10" s="217"/>
      <c r="G10" s="218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20"/>
      <c r="W10" s="221"/>
      <c r="X10" s="115"/>
      <c r="Y10" s="222"/>
      <c r="Z10" s="223"/>
      <c r="AA10" s="224"/>
      <c r="AB10" s="225"/>
      <c r="AC10" s="156"/>
      <c r="AD10" s="121"/>
      <c r="AE10" s="121"/>
      <c r="AF10" s="121"/>
    </row>
    <row r="11" spans="1:32" ht="14.25" customHeight="1" x14ac:dyDescent="0.2">
      <c r="A11" s="20">
        <v>1</v>
      </c>
      <c r="B11" s="226" t="s">
        <v>16</v>
      </c>
      <c r="C11" s="227">
        <v>17</v>
      </c>
      <c r="D11" s="112">
        <v>8679</v>
      </c>
      <c r="E11" s="227">
        <f>D11*0.1</f>
        <v>867.90000000000009</v>
      </c>
      <c r="F11" s="68">
        <f>D11+E11</f>
        <v>9546.9</v>
      </c>
      <c r="G11" s="228">
        <v>1</v>
      </c>
      <c r="H11" s="122">
        <f>F11*G11</f>
        <v>9546.9</v>
      </c>
      <c r="I11" s="123">
        <v>0.3</v>
      </c>
      <c r="J11" s="122">
        <f>H11*I11</f>
        <v>2864.0699999999997</v>
      </c>
      <c r="K11" s="229">
        <v>0.5</v>
      </c>
      <c r="L11" s="124">
        <f>H11*K11</f>
        <v>4773.45</v>
      </c>
      <c r="M11" s="125"/>
      <c r="N11" s="124"/>
      <c r="O11" s="124"/>
      <c r="P11" s="124"/>
      <c r="Q11" s="124"/>
      <c r="R11" s="124"/>
      <c r="S11" s="125"/>
      <c r="T11" s="124"/>
      <c r="U11" s="125">
        <v>0.1</v>
      </c>
      <c r="V11" s="126">
        <f t="shared" ref="V11:V16" si="0">H11*U11</f>
        <v>954.69</v>
      </c>
      <c r="W11" s="127">
        <f>H11+J11+L11+P11+R11+T11+V11+N11</f>
        <v>18139.109999999997</v>
      </c>
      <c r="X11" s="115">
        <f>W11*8</f>
        <v>145112.87999999998</v>
      </c>
      <c r="Y11" s="183"/>
      <c r="Z11" s="184">
        <f>H11</f>
        <v>9546.9</v>
      </c>
      <c r="AA11" s="185">
        <f>H11*3+441.28</f>
        <v>29081.979999999996</v>
      </c>
      <c r="AB11" s="186">
        <f>SUM(X11:AA11)</f>
        <v>183741.75999999995</v>
      </c>
      <c r="AC11" s="156"/>
      <c r="AD11" s="121"/>
      <c r="AE11" s="121"/>
      <c r="AF11" s="121"/>
    </row>
    <row r="12" spans="1:32" s="5" customFormat="1" ht="24" customHeight="1" x14ac:dyDescent="0.2">
      <c r="A12" s="20">
        <v>2</v>
      </c>
      <c r="B12" s="230" t="s">
        <v>40</v>
      </c>
      <c r="C12" s="231">
        <v>17</v>
      </c>
      <c r="D12" s="113">
        <v>8245</v>
      </c>
      <c r="E12" s="227">
        <f t="shared" ref="E12:E49" si="1">D12*0.1</f>
        <v>824.5</v>
      </c>
      <c r="F12" s="68">
        <f t="shared" ref="F12:F49" si="2">D12+E12</f>
        <v>9069.5</v>
      </c>
      <c r="G12" s="41">
        <v>1</v>
      </c>
      <c r="H12" s="122">
        <f t="shared" ref="H12:H49" si="3">F12*G12</f>
        <v>9069.5</v>
      </c>
      <c r="I12" s="131">
        <v>0.3</v>
      </c>
      <c r="J12" s="122">
        <f t="shared" ref="J12:J41" si="4">H12*I12</f>
        <v>2720.85</v>
      </c>
      <c r="K12" s="131"/>
      <c r="L12" s="122"/>
      <c r="M12" s="123"/>
      <c r="N12" s="122"/>
      <c r="O12" s="232"/>
      <c r="P12" s="232"/>
      <c r="Q12" s="232"/>
      <c r="R12" s="232"/>
      <c r="S12" s="131"/>
      <c r="T12" s="232"/>
      <c r="U12" s="125">
        <v>0.1</v>
      </c>
      <c r="V12" s="233">
        <f t="shared" si="0"/>
        <v>906.95</v>
      </c>
      <c r="W12" s="234">
        <f t="shared" ref="W12:W49" si="5">H12+J12+L12+P12+R12+T12+V12+N12</f>
        <v>12697.300000000001</v>
      </c>
      <c r="X12" s="115">
        <f t="shared" ref="X12:X43" si="6">W12*8</f>
        <v>101578.40000000001</v>
      </c>
      <c r="Y12" s="183"/>
      <c r="Z12" s="184">
        <f t="shared" ref="Z12:Z43" si="7">H12</f>
        <v>9069.5</v>
      </c>
      <c r="AA12" s="185">
        <f>H12*0.5</f>
        <v>4534.75</v>
      </c>
      <c r="AB12" s="186">
        <f t="shared" ref="AB12:AB43" si="8">SUM(X12:AA12)</f>
        <v>115182.65000000001</v>
      </c>
      <c r="AC12" s="156"/>
      <c r="AD12" s="130"/>
      <c r="AE12" s="130"/>
      <c r="AF12" s="130"/>
    </row>
    <row r="13" spans="1:32" s="5" customFormat="1" ht="23.25" customHeight="1" x14ac:dyDescent="0.2">
      <c r="A13" s="19">
        <v>3</v>
      </c>
      <c r="B13" s="235" t="s">
        <v>39</v>
      </c>
      <c r="C13" s="236">
        <v>17</v>
      </c>
      <c r="D13" s="237">
        <v>8245</v>
      </c>
      <c r="E13" s="227">
        <f t="shared" si="1"/>
        <v>824.5</v>
      </c>
      <c r="F13" s="68">
        <f t="shared" si="2"/>
        <v>9069.5</v>
      </c>
      <c r="G13" s="238">
        <v>0.5</v>
      </c>
      <c r="H13" s="122">
        <f t="shared" si="3"/>
        <v>4534.75</v>
      </c>
      <c r="I13" s="128">
        <v>0.2</v>
      </c>
      <c r="J13" s="122">
        <f t="shared" si="4"/>
        <v>906.95</v>
      </c>
      <c r="K13" s="128"/>
      <c r="L13" s="124"/>
      <c r="M13" s="125"/>
      <c r="N13" s="124"/>
      <c r="O13" s="129"/>
      <c r="P13" s="129"/>
      <c r="Q13" s="129"/>
      <c r="R13" s="129"/>
      <c r="S13" s="128"/>
      <c r="T13" s="129"/>
      <c r="U13" s="125">
        <v>0.1</v>
      </c>
      <c r="V13" s="126">
        <f t="shared" si="0"/>
        <v>453.47500000000002</v>
      </c>
      <c r="W13" s="127">
        <f t="shared" si="5"/>
        <v>5895.1750000000002</v>
      </c>
      <c r="X13" s="115">
        <f t="shared" si="6"/>
        <v>47161.4</v>
      </c>
      <c r="Y13" s="183"/>
      <c r="Z13" s="184">
        <f t="shared" si="7"/>
        <v>4534.75</v>
      </c>
      <c r="AA13" s="185">
        <f t="shared" ref="AA13:AA16" si="9">H13*0.5</f>
        <v>2267.375</v>
      </c>
      <c r="AB13" s="186">
        <f t="shared" si="8"/>
        <v>53963.525000000001</v>
      </c>
      <c r="AC13" s="156"/>
      <c r="AD13" s="130"/>
      <c r="AE13" s="130"/>
      <c r="AF13" s="130"/>
    </row>
    <row r="14" spans="1:32" x14ac:dyDescent="0.2">
      <c r="A14" s="19">
        <v>4</v>
      </c>
      <c r="B14" s="239" t="s">
        <v>11</v>
      </c>
      <c r="C14" s="231">
        <v>11</v>
      </c>
      <c r="D14" s="113">
        <v>5699</v>
      </c>
      <c r="E14" s="227">
        <f t="shared" si="1"/>
        <v>569.9</v>
      </c>
      <c r="F14" s="68">
        <f t="shared" si="2"/>
        <v>6268.9</v>
      </c>
      <c r="G14" s="41">
        <v>1</v>
      </c>
      <c r="H14" s="122">
        <f t="shared" si="3"/>
        <v>6268.9</v>
      </c>
      <c r="I14" s="131">
        <v>0.1</v>
      </c>
      <c r="J14" s="122">
        <f t="shared" si="4"/>
        <v>626.89</v>
      </c>
      <c r="K14" s="123"/>
      <c r="L14" s="124"/>
      <c r="M14" s="124"/>
      <c r="N14" s="124"/>
      <c r="O14" s="131"/>
      <c r="P14" s="129"/>
      <c r="Q14" s="131"/>
      <c r="R14" s="129"/>
      <c r="S14" s="128"/>
      <c r="T14" s="129"/>
      <c r="U14" s="125">
        <v>0.1</v>
      </c>
      <c r="V14" s="126">
        <f t="shared" si="0"/>
        <v>626.89</v>
      </c>
      <c r="W14" s="127">
        <f t="shared" si="5"/>
        <v>7522.68</v>
      </c>
      <c r="X14" s="115">
        <f t="shared" si="6"/>
        <v>60181.440000000002</v>
      </c>
      <c r="Y14" s="183"/>
      <c r="Z14" s="184">
        <f t="shared" si="7"/>
        <v>6268.9</v>
      </c>
      <c r="AA14" s="185">
        <f t="shared" si="9"/>
        <v>3134.45</v>
      </c>
      <c r="AB14" s="186">
        <f t="shared" si="8"/>
        <v>69584.789999999994</v>
      </c>
      <c r="AC14" s="156"/>
      <c r="AD14" s="121"/>
      <c r="AE14" s="121"/>
      <c r="AF14" s="121"/>
    </row>
    <row r="15" spans="1:32" x14ac:dyDescent="0.2">
      <c r="A15" s="20">
        <v>5</v>
      </c>
      <c r="B15" s="239" t="s">
        <v>12</v>
      </c>
      <c r="C15" s="231">
        <v>12</v>
      </c>
      <c r="D15" s="113">
        <v>6133</v>
      </c>
      <c r="E15" s="227">
        <f t="shared" si="1"/>
        <v>613.30000000000007</v>
      </c>
      <c r="F15" s="68">
        <f t="shared" si="2"/>
        <v>6746.3</v>
      </c>
      <c r="G15" s="41">
        <v>0.5</v>
      </c>
      <c r="H15" s="122">
        <f t="shared" si="3"/>
        <v>3373.15</v>
      </c>
      <c r="I15" s="131">
        <v>0.1</v>
      </c>
      <c r="J15" s="122">
        <f t="shared" si="4"/>
        <v>337.31500000000005</v>
      </c>
      <c r="K15" s="128"/>
      <c r="L15" s="124"/>
      <c r="M15" s="124"/>
      <c r="N15" s="124"/>
      <c r="O15" s="131"/>
      <c r="P15" s="129"/>
      <c r="Q15" s="131"/>
      <c r="R15" s="129"/>
      <c r="S15" s="128"/>
      <c r="T15" s="129"/>
      <c r="U15" s="125">
        <v>0.1</v>
      </c>
      <c r="V15" s="126">
        <f t="shared" si="0"/>
        <v>337.31500000000005</v>
      </c>
      <c r="W15" s="127">
        <f t="shared" si="5"/>
        <v>4047.78</v>
      </c>
      <c r="X15" s="115">
        <f t="shared" si="6"/>
        <v>32382.240000000002</v>
      </c>
      <c r="Y15" s="183"/>
      <c r="Z15" s="184">
        <f t="shared" si="7"/>
        <v>3373.15</v>
      </c>
      <c r="AA15" s="185">
        <f t="shared" si="9"/>
        <v>1686.575</v>
      </c>
      <c r="AB15" s="186">
        <f t="shared" si="8"/>
        <v>37441.964999999997</v>
      </c>
      <c r="AC15" s="156"/>
      <c r="AD15" s="121"/>
      <c r="AE15" s="121"/>
      <c r="AF15" s="121"/>
    </row>
    <row r="16" spans="1:32" x14ac:dyDescent="0.2">
      <c r="A16" s="19">
        <v>6</v>
      </c>
      <c r="B16" s="239" t="s">
        <v>13</v>
      </c>
      <c r="C16" s="231">
        <v>12</v>
      </c>
      <c r="D16" s="113">
        <v>6133</v>
      </c>
      <c r="E16" s="227">
        <f t="shared" si="1"/>
        <v>613.30000000000007</v>
      </c>
      <c r="F16" s="68">
        <f t="shared" si="2"/>
        <v>6746.3</v>
      </c>
      <c r="G16" s="41">
        <v>0.5</v>
      </c>
      <c r="H16" s="122">
        <f t="shared" si="3"/>
        <v>3373.15</v>
      </c>
      <c r="I16" s="131">
        <v>0.1</v>
      </c>
      <c r="J16" s="122">
        <f t="shared" si="4"/>
        <v>337.31500000000005</v>
      </c>
      <c r="K16" s="123"/>
      <c r="L16" s="124"/>
      <c r="M16" s="124"/>
      <c r="N16" s="124"/>
      <c r="O16" s="131"/>
      <c r="P16" s="129"/>
      <c r="Q16" s="131"/>
      <c r="R16" s="129"/>
      <c r="S16" s="128"/>
      <c r="T16" s="129"/>
      <c r="U16" s="125">
        <v>0.1</v>
      </c>
      <c r="V16" s="126">
        <f t="shared" si="0"/>
        <v>337.31500000000005</v>
      </c>
      <c r="W16" s="127">
        <f t="shared" si="5"/>
        <v>4047.78</v>
      </c>
      <c r="X16" s="115">
        <f t="shared" si="6"/>
        <v>32382.240000000002</v>
      </c>
      <c r="Y16" s="183"/>
      <c r="Z16" s="184">
        <f t="shared" si="7"/>
        <v>3373.15</v>
      </c>
      <c r="AA16" s="185">
        <f t="shared" si="9"/>
        <v>1686.575</v>
      </c>
      <c r="AB16" s="186">
        <f t="shared" si="8"/>
        <v>37441.964999999997</v>
      </c>
      <c r="AC16" s="156"/>
      <c r="AD16" s="121"/>
      <c r="AE16" s="121"/>
      <c r="AF16" s="121"/>
    </row>
    <row r="17" spans="1:32" ht="12.75" customHeight="1" x14ac:dyDescent="0.2">
      <c r="A17" s="19"/>
      <c r="B17" s="240" t="s">
        <v>69</v>
      </c>
      <c r="C17" s="231"/>
      <c r="D17" s="113"/>
      <c r="E17" s="227"/>
      <c r="F17" s="68"/>
      <c r="G17" s="41"/>
      <c r="H17" s="122"/>
      <c r="I17" s="131"/>
      <c r="J17" s="122"/>
      <c r="K17" s="123"/>
      <c r="L17" s="124"/>
      <c r="M17" s="124"/>
      <c r="N17" s="124"/>
      <c r="O17" s="131"/>
      <c r="P17" s="129"/>
      <c r="Q17" s="131"/>
      <c r="R17" s="129"/>
      <c r="S17" s="128"/>
      <c r="T17" s="129"/>
      <c r="U17" s="125"/>
      <c r="V17" s="126"/>
      <c r="W17" s="127"/>
      <c r="X17" s="115">
        <f t="shared" si="6"/>
        <v>0</v>
      </c>
      <c r="Y17" s="183"/>
      <c r="Z17" s="184"/>
      <c r="AA17" s="185"/>
      <c r="AB17" s="186"/>
      <c r="AC17" s="156"/>
      <c r="AD17" s="121"/>
      <c r="AE17" s="121"/>
      <c r="AF17" s="121"/>
    </row>
    <row r="18" spans="1:32" x14ac:dyDescent="0.2">
      <c r="A18" s="20">
        <v>7</v>
      </c>
      <c r="B18" s="241" t="s">
        <v>42</v>
      </c>
      <c r="C18" s="231">
        <v>14</v>
      </c>
      <c r="D18" s="113">
        <v>7001</v>
      </c>
      <c r="E18" s="227">
        <f t="shared" si="1"/>
        <v>700.1</v>
      </c>
      <c r="F18" s="68">
        <f t="shared" si="2"/>
        <v>7701.1</v>
      </c>
      <c r="G18" s="242">
        <v>7.1</v>
      </c>
      <c r="H18" s="122">
        <f t="shared" si="3"/>
        <v>54677.81</v>
      </c>
      <c r="I18" s="131">
        <v>0.3</v>
      </c>
      <c r="J18" s="122">
        <f t="shared" si="4"/>
        <v>16403.342999999997</v>
      </c>
      <c r="K18" s="128"/>
      <c r="L18" s="124"/>
      <c r="M18" s="124"/>
      <c r="N18" s="124"/>
      <c r="O18" s="131">
        <v>0.2</v>
      </c>
      <c r="P18" s="129">
        <f>H18*O18</f>
        <v>10935.562</v>
      </c>
      <c r="Q18" s="131">
        <v>0.15</v>
      </c>
      <c r="R18" s="129">
        <f t="shared" ref="R18:R33" si="10">H18*Q18</f>
        <v>8201.6714999999986</v>
      </c>
      <c r="S18" s="128"/>
      <c r="T18" s="129"/>
      <c r="U18" s="125">
        <v>0.1</v>
      </c>
      <c r="V18" s="126">
        <f t="shared" ref="V18:V41" si="11">H18*U18</f>
        <v>5467.7809999999999</v>
      </c>
      <c r="W18" s="127">
        <f t="shared" si="5"/>
        <v>95686.167499999996</v>
      </c>
      <c r="X18" s="115">
        <f t="shared" si="6"/>
        <v>765489.34</v>
      </c>
      <c r="Y18" s="183"/>
      <c r="Z18" s="184">
        <f t="shared" si="7"/>
        <v>54677.81</v>
      </c>
      <c r="AA18" s="185">
        <f>H18*0.1</f>
        <v>5467.7809999999999</v>
      </c>
      <c r="AB18" s="186">
        <f t="shared" si="8"/>
        <v>825634.93099999987</v>
      </c>
      <c r="AC18" s="156"/>
      <c r="AD18" s="121"/>
      <c r="AE18" s="121"/>
      <c r="AF18" s="121"/>
    </row>
    <row r="19" spans="1:32" x14ac:dyDescent="0.2">
      <c r="A19" s="20">
        <f>A18+1</f>
        <v>8</v>
      </c>
      <c r="B19" s="241" t="s">
        <v>42</v>
      </c>
      <c r="C19" s="231">
        <v>13</v>
      </c>
      <c r="D19" s="113">
        <v>6567</v>
      </c>
      <c r="E19" s="227">
        <f t="shared" si="1"/>
        <v>656.7</v>
      </c>
      <c r="F19" s="68">
        <f t="shared" si="2"/>
        <v>7223.7</v>
      </c>
      <c r="G19" s="242">
        <v>4</v>
      </c>
      <c r="H19" s="122">
        <f t="shared" si="3"/>
        <v>28894.799999999999</v>
      </c>
      <c r="I19" s="131">
        <v>0.2</v>
      </c>
      <c r="J19" s="122">
        <f t="shared" si="4"/>
        <v>5778.96</v>
      </c>
      <c r="K19" s="128"/>
      <c r="L19" s="124"/>
      <c r="M19" s="124"/>
      <c r="N19" s="124"/>
      <c r="O19" s="131">
        <v>0.2</v>
      </c>
      <c r="P19" s="129">
        <f t="shared" ref="P19:P33" si="12">H19*O19</f>
        <v>5778.96</v>
      </c>
      <c r="Q19" s="131">
        <v>0.15</v>
      </c>
      <c r="R19" s="129">
        <f t="shared" si="10"/>
        <v>4334.2199999999993</v>
      </c>
      <c r="S19" s="128"/>
      <c r="T19" s="129"/>
      <c r="U19" s="125">
        <v>0.1</v>
      </c>
      <c r="V19" s="126">
        <f t="shared" si="11"/>
        <v>2889.48</v>
      </c>
      <c r="W19" s="127">
        <f t="shared" si="5"/>
        <v>47676.420000000006</v>
      </c>
      <c r="X19" s="115">
        <f t="shared" si="6"/>
        <v>381411.36000000004</v>
      </c>
      <c r="Y19" s="183"/>
      <c r="Z19" s="184">
        <f t="shared" si="7"/>
        <v>28894.799999999999</v>
      </c>
      <c r="AA19" s="185">
        <f t="shared" ref="AA19:AA42" si="13">H19*0.1</f>
        <v>2889.48</v>
      </c>
      <c r="AB19" s="186">
        <f t="shared" si="8"/>
        <v>413195.64</v>
      </c>
      <c r="AC19" s="156"/>
      <c r="AD19" s="121"/>
      <c r="AE19" s="121"/>
      <c r="AF19" s="121"/>
    </row>
    <row r="20" spans="1:32" x14ac:dyDescent="0.2">
      <c r="A20" s="20">
        <f>A19+1</f>
        <v>9</v>
      </c>
      <c r="B20" s="241" t="s">
        <v>42</v>
      </c>
      <c r="C20" s="231">
        <v>12</v>
      </c>
      <c r="D20" s="113">
        <v>6133</v>
      </c>
      <c r="E20" s="227">
        <f t="shared" si="1"/>
        <v>613.30000000000007</v>
      </c>
      <c r="F20" s="68">
        <f t="shared" si="2"/>
        <v>6746.3</v>
      </c>
      <c r="G20" s="242">
        <v>4</v>
      </c>
      <c r="H20" s="122">
        <f t="shared" si="3"/>
        <v>26985.200000000001</v>
      </c>
      <c r="I20" s="131">
        <v>0.2</v>
      </c>
      <c r="J20" s="122">
        <f t="shared" si="4"/>
        <v>5397.0400000000009</v>
      </c>
      <c r="K20" s="128"/>
      <c r="L20" s="124"/>
      <c r="M20" s="124"/>
      <c r="N20" s="124"/>
      <c r="O20" s="131">
        <v>0.2</v>
      </c>
      <c r="P20" s="129">
        <f t="shared" si="12"/>
        <v>5397.0400000000009</v>
      </c>
      <c r="Q20" s="131">
        <v>0.15</v>
      </c>
      <c r="R20" s="129">
        <f t="shared" si="10"/>
        <v>4047.7799999999997</v>
      </c>
      <c r="S20" s="128"/>
      <c r="T20" s="129"/>
      <c r="U20" s="125">
        <v>0.1</v>
      </c>
      <c r="V20" s="126">
        <f t="shared" si="11"/>
        <v>2698.5200000000004</v>
      </c>
      <c r="W20" s="127">
        <f t="shared" si="5"/>
        <v>44525.58</v>
      </c>
      <c r="X20" s="115">
        <f t="shared" si="6"/>
        <v>356204.64</v>
      </c>
      <c r="Y20" s="183"/>
      <c r="Z20" s="184">
        <f t="shared" si="7"/>
        <v>26985.200000000001</v>
      </c>
      <c r="AA20" s="185">
        <f t="shared" si="13"/>
        <v>2698.5200000000004</v>
      </c>
      <c r="AB20" s="186">
        <f t="shared" si="8"/>
        <v>385888.36000000004</v>
      </c>
      <c r="AC20" s="156"/>
      <c r="AD20" s="121"/>
      <c r="AE20" s="121"/>
      <c r="AF20" s="121"/>
    </row>
    <row r="21" spans="1:32" x14ac:dyDescent="0.2">
      <c r="A21" s="20">
        <f t="shared" ref="A21:A43" si="14">A20+1</f>
        <v>10</v>
      </c>
      <c r="B21" s="241" t="s">
        <v>42</v>
      </c>
      <c r="C21" s="231">
        <v>11</v>
      </c>
      <c r="D21" s="113">
        <v>5699</v>
      </c>
      <c r="E21" s="227">
        <f t="shared" si="1"/>
        <v>569.9</v>
      </c>
      <c r="F21" s="68">
        <f t="shared" si="2"/>
        <v>6268.9</v>
      </c>
      <c r="G21" s="242">
        <v>1.5</v>
      </c>
      <c r="H21" s="122">
        <f t="shared" si="3"/>
        <v>9403.3499999999985</v>
      </c>
      <c r="I21" s="131">
        <v>0.1</v>
      </c>
      <c r="J21" s="122">
        <f t="shared" si="4"/>
        <v>940.33499999999992</v>
      </c>
      <c r="K21" s="128"/>
      <c r="L21" s="124"/>
      <c r="M21" s="124"/>
      <c r="N21" s="124"/>
      <c r="O21" s="131">
        <v>0.2</v>
      </c>
      <c r="P21" s="129">
        <f t="shared" si="12"/>
        <v>1880.6699999999998</v>
      </c>
      <c r="Q21" s="131">
        <v>0.15</v>
      </c>
      <c r="R21" s="129">
        <f t="shared" si="10"/>
        <v>1410.5024999999998</v>
      </c>
      <c r="S21" s="128"/>
      <c r="T21" s="129"/>
      <c r="U21" s="125">
        <v>0.1</v>
      </c>
      <c r="V21" s="126">
        <f t="shared" si="11"/>
        <v>940.33499999999992</v>
      </c>
      <c r="W21" s="127">
        <f t="shared" si="5"/>
        <v>14575.192499999997</v>
      </c>
      <c r="X21" s="115">
        <f t="shared" si="6"/>
        <v>116601.53999999998</v>
      </c>
      <c r="Y21" s="183"/>
      <c r="Z21" s="184">
        <f t="shared" si="7"/>
        <v>9403.3499999999985</v>
      </c>
      <c r="AA21" s="185">
        <f t="shared" si="13"/>
        <v>940.33499999999992</v>
      </c>
      <c r="AB21" s="186">
        <f t="shared" si="8"/>
        <v>126945.22499999999</v>
      </c>
      <c r="AC21" s="156"/>
      <c r="AD21" s="121"/>
      <c r="AE21" s="121"/>
      <c r="AF21" s="121"/>
    </row>
    <row r="22" spans="1:32" x14ac:dyDescent="0.2">
      <c r="A22" s="20">
        <f t="shared" si="14"/>
        <v>11</v>
      </c>
      <c r="B22" s="241" t="s">
        <v>44</v>
      </c>
      <c r="C22" s="231">
        <v>11</v>
      </c>
      <c r="D22" s="113">
        <v>5699</v>
      </c>
      <c r="E22" s="227">
        <f t="shared" si="1"/>
        <v>569.9</v>
      </c>
      <c r="F22" s="68">
        <f t="shared" si="2"/>
        <v>6268.9</v>
      </c>
      <c r="G22" s="242">
        <v>3.44</v>
      </c>
      <c r="H22" s="122">
        <f t="shared" si="3"/>
        <v>21565.016</v>
      </c>
      <c r="I22" s="131">
        <v>0.1</v>
      </c>
      <c r="J22" s="122">
        <f t="shared" si="4"/>
        <v>2156.5016000000001</v>
      </c>
      <c r="K22" s="128"/>
      <c r="L22" s="124"/>
      <c r="M22" s="124"/>
      <c r="N22" s="124"/>
      <c r="O22" s="131"/>
      <c r="P22" s="129"/>
      <c r="Q22" s="131"/>
      <c r="R22" s="129"/>
      <c r="S22" s="128">
        <v>0.15</v>
      </c>
      <c r="T22" s="129">
        <f>H22*S22/G22*1</f>
        <v>940.33499999999992</v>
      </c>
      <c r="U22" s="125">
        <v>0.1</v>
      </c>
      <c r="V22" s="126">
        <f t="shared" si="11"/>
        <v>2156.5016000000001</v>
      </c>
      <c r="W22" s="127">
        <f t="shared" si="5"/>
        <v>26818.354199999998</v>
      </c>
      <c r="X22" s="115">
        <f t="shared" si="6"/>
        <v>214546.83359999998</v>
      </c>
      <c r="Y22" s="183"/>
      <c r="Z22" s="184">
        <f t="shared" si="7"/>
        <v>21565.016</v>
      </c>
      <c r="AA22" s="185">
        <f t="shared" si="13"/>
        <v>2156.5016000000001</v>
      </c>
      <c r="AB22" s="186">
        <f t="shared" si="8"/>
        <v>238268.35119999998</v>
      </c>
      <c r="AC22" s="156"/>
      <c r="AD22" s="121"/>
      <c r="AE22" s="121"/>
      <c r="AF22" s="121"/>
    </row>
    <row r="23" spans="1:32" x14ac:dyDescent="0.2">
      <c r="A23" s="20">
        <f t="shared" si="14"/>
        <v>12</v>
      </c>
      <c r="B23" s="241" t="s">
        <v>45</v>
      </c>
      <c r="C23" s="231">
        <v>10</v>
      </c>
      <c r="D23" s="113">
        <v>5265</v>
      </c>
      <c r="E23" s="227">
        <f t="shared" si="1"/>
        <v>526.5</v>
      </c>
      <c r="F23" s="68">
        <f t="shared" si="2"/>
        <v>5791.5</v>
      </c>
      <c r="G23" s="242">
        <v>0.6</v>
      </c>
      <c r="H23" s="122">
        <f t="shared" si="3"/>
        <v>3474.9</v>
      </c>
      <c r="I23" s="131">
        <v>0.3</v>
      </c>
      <c r="J23" s="122">
        <f t="shared" si="4"/>
        <v>1042.47</v>
      </c>
      <c r="K23" s="128"/>
      <c r="L23" s="124"/>
      <c r="M23" s="124"/>
      <c r="N23" s="124"/>
      <c r="O23" s="131"/>
      <c r="P23" s="129"/>
      <c r="Q23" s="131"/>
      <c r="R23" s="129"/>
      <c r="S23" s="128"/>
      <c r="T23" s="129"/>
      <c r="U23" s="125">
        <v>0.1</v>
      </c>
      <c r="V23" s="126">
        <f t="shared" si="11"/>
        <v>347.49</v>
      </c>
      <c r="W23" s="127">
        <f t="shared" si="5"/>
        <v>4864.8599999999997</v>
      </c>
      <c r="X23" s="115">
        <f t="shared" si="6"/>
        <v>38918.879999999997</v>
      </c>
      <c r="Y23" s="183"/>
      <c r="Z23" s="184">
        <f t="shared" si="7"/>
        <v>3474.9</v>
      </c>
      <c r="AA23" s="185">
        <f t="shared" si="13"/>
        <v>347.49</v>
      </c>
      <c r="AB23" s="186">
        <f t="shared" si="8"/>
        <v>42741.27</v>
      </c>
      <c r="AC23" s="156"/>
      <c r="AD23" s="121"/>
      <c r="AE23" s="121"/>
      <c r="AF23" s="121"/>
    </row>
    <row r="24" spans="1:32" x14ac:dyDescent="0.2">
      <c r="A24" s="20">
        <f t="shared" si="14"/>
        <v>13</v>
      </c>
      <c r="B24" s="241" t="s">
        <v>46</v>
      </c>
      <c r="C24" s="231">
        <v>12</v>
      </c>
      <c r="D24" s="113">
        <v>6133</v>
      </c>
      <c r="E24" s="227">
        <f t="shared" si="1"/>
        <v>613.30000000000007</v>
      </c>
      <c r="F24" s="68">
        <f t="shared" si="2"/>
        <v>6746.3</v>
      </c>
      <c r="G24" s="242">
        <v>0.93</v>
      </c>
      <c r="H24" s="122">
        <f t="shared" si="3"/>
        <v>6274.0590000000002</v>
      </c>
      <c r="I24" s="131">
        <v>0.1</v>
      </c>
      <c r="J24" s="122">
        <f t="shared" si="4"/>
        <v>627.40590000000009</v>
      </c>
      <c r="K24" s="128"/>
      <c r="L24" s="124"/>
      <c r="M24" s="124"/>
      <c r="N24" s="124"/>
      <c r="O24" s="131"/>
      <c r="P24" s="129"/>
      <c r="Q24" s="131"/>
      <c r="R24" s="129"/>
      <c r="S24" s="128"/>
      <c r="T24" s="129"/>
      <c r="U24" s="125">
        <v>0.1</v>
      </c>
      <c r="V24" s="126">
        <f t="shared" si="11"/>
        <v>627.40590000000009</v>
      </c>
      <c r="W24" s="127">
        <f t="shared" si="5"/>
        <v>7528.8707999999997</v>
      </c>
      <c r="X24" s="115">
        <f t="shared" si="6"/>
        <v>60230.966399999998</v>
      </c>
      <c r="Y24" s="183"/>
      <c r="Z24" s="184">
        <f t="shared" si="7"/>
        <v>6274.0590000000002</v>
      </c>
      <c r="AA24" s="185">
        <f t="shared" si="13"/>
        <v>627.40590000000009</v>
      </c>
      <c r="AB24" s="186">
        <f t="shared" si="8"/>
        <v>67132.431299999997</v>
      </c>
      <c r="AC24" s="156"/>
      <c r="AD24" s="121"/>
      <c r="AE24" s="121"/>
      <c r="AF24" s="121"/>
    </row>
    <row r="25" spans="1:32" x14ac:dyDescent="0.2">
      <c r="A25" s="20">
        <f t="shared" si="14"/>
        <v>14</v>
      </c>
      <c r="B25" s="241" t="s">
        <v>48</v>
      </c>
      <c r="C25" s="231">
        <v>14</v>
      </c>
      <c r="D25" s="113">
        <v>7001</v>
      </c>
      <c r="E25" s="227">
        <f t="shared" si="1"/>
        <v>700.1</v>
      </c>
      <c r="F25" s="68">
        <f t="shared" si="2"/>
        <v>7701.1</v>
      </c>
      <c r="G25" s="242">
        <v>2.8</v>
      </c>
      <c r="H25" s="122">
        <f t="shared" si="3"/>
        <v>21563.079999999998</v>
      </c>
      <c r="I25" s="131">
        <v>0.2</v>
      </c>
      <c r="J25" s="122">
        <f t="shared" si="4"/>
        <v>4312.616</v>
      </c>
      <c r="K25" s="128"/>
      <c r="L25" s="124"/>
      <c r="M25" s="123" t="s">
        <v>65</v>
      </c>
      <c r="N25" s="124"/>
      <c r="O25" s="131"/>
      <c r="P25" s="129"/>
      <c r="Q25" s="131">
        <v>0.1</v>
      </c>
      <c r="R25" s="129">
        <f>H25*Q25</f>
        <v>2156.308</v>
      </c>
      <c r="S25" s="128">
        <v>0.15</v>
      </c>
      <c r="T25" s="129">
        <f t="shared" ref="T25" si="15">H25*S25</f>
        <v>3234.4619999999995</v>
      </c>
      <c r="U25" s="125">
        <v>0.1</v>
      </c>
      <c r="V25" s="126">
        <f t="shared" si="11"/>
        <v>2156.308</v>
      </c>
      <c r="W25" s="127">
        <f t="shared" si="5"/>
        <v>33422.773999999998</v>
      </c>
      <c r="X25" s="115">
        <f t="shared" si="6"/>
        <v>267382.19199999998</v>
      </c>
      <c r="Y25" s="183"/>
      <c r="Z25" s="184">
        <f t="shared" si="7"/>
        <v>21563.079999999998</v>
      </c>
      <c r="AA25" s="185">
        <f t="shared" si="13"/>
        <v>2156.308</v>
      </c>
      <c r="AB25" s="186">
        <f t="shared" si="8"/>
        <v>291101.58</v>
      </c>
      <c r="AC25" s="156"/>
      <c r="AD25" s="121"/>
      <c r="AE25" s="121"/>
      <c r="AF25" s="121"/>
    </row>
    <row r="26" spans="1:32" x14ac:dyDescent="0.2">
      <c r="A26" s="20">
        <f t="shared" si="14"/>
        <v>15</v>
      </c>
      <c r="B26" s="241" t="s">
        <v>48</v>
      </c>
      <c r="C26" s="231">
        <v>14</v>
      </c>
      <c r="D26" s="113">
        <v>7001</v>
      </c>
      <c r="E26" s="227">
        <f t="shared" si="1"/>
        <v>700.1</v>
      </c>
      <c r="F26" s="68">
        <f t="shared" si="2"/>
        <v>7701.1</v>
      </c>
      <c r="G26" s="242">
        <v>0.5</v>
      </c>
      <c r="H26" s="122">
        <f t="shared" si="3"/>
        <v>3850.55</v>
      </c>
      <c r="I26" s="131">
        <v>0.3</v>
      </c>
      <c r="J26" s="122">
        <f>H26*I26</f>
        <v>1155.165</v>
      </c>
      <c r="K26" s="128"/>
      <c r="L26" s="124"/>
      <c r="M26" s="123">
        <v>0.1</v>
      </c>
      <c r="N26" s="124">
        <f>H26*M26</f>
        <v>385.05500000000006</v>
      </c>
      <c r="O26" s="131"/>
      <c r="P26" s="129"/>
      <c r="Q26" s="131">
        <v>0.1</v>
      </c>
      <c r="R26" s="129">
        <f>H26*Q26</f>
        <v>385.05500000000006</v>
      </c>
      <c r="S26" s="128"/>
      <c r="T26" s="129"/>
      <c r="U26" s="125">
        <v>0.1</v>
      </c>
      <c r="V26" s="126">
        <f>H26*U26</f>
        <v>385.05500000000006</v>
      </c>
      <c r="W26" s="127">
        <f t="shared" si="5"/>
        <v>6160.880000000001</v>
      </c>
      <c r="X26" s="115">
        <f t="shared" si="6"/>
        <v>49287.040000000008</v>
      </c>
      <c r="Y26" s="183"/>
      <c r="Z26" s="184">
        <f t="shared" si="7"/>
        <v>3850.55</v>
      </c>
      <c r="AA26" s="185">
        <f t="shared" si="13"/>
        <v>385.05500000000006</v>
      </c>
      <c r="AB26" s="186">
        <f t="shared" si="8"/>
        <v>53522.645000000011</v>
      </c>
      <c r="AC26" s="156"/>
      <c r="AD26" s="121"/>
      <c r="AE26" s="121"/>
      <c r="AF26" s="121"/>
    </row>
    <row r="27" spans="1:32" x14ac:dyDescent="0.2">
      <c r="A27" s="20">
        <f t="shared" si="14"/>
        <v>16</v>
      </c>
      <c r="B27" s="241" t="s">
        <v>48</v>
      </c>
      <c r="C27" s="231">
        <v>13</v>
      </c>
      <c r="D27" s="113">
        <v>6567</v>
      </c>
      <c r="E27" s="227">
        <f t="shared" si="1"/>
        <v>656.7</v>
      </c>
      <c r="F27" s="68">
        <f t="shared" si="2"/>
        <v>7223.7</v>
      </c>
      <c r="G27" s="242">
        <v>0.8</v>
      </c>
      <c r="H27" s="122">
        <f t="shared" si="3"/>
        <v>5778.96</v>
      </c>
      <c r="I27" s="131">
        <v>0.2</v>
      </c>
      <c r="J27" s="122">
        <f>H27*I27</f>
        <v>1155.7920000000001</v>
      </c>
      <c r="K27" s="128"/>
      <c r="L27" s="124"/>
      <c r="M27" s="123"/>
      <c r="N27" s="124"/>
      <c r="O27" s="131"/>
      <c r="P27" s="129"/>
      <c r="Q27" s="131">
        <v>0.1</v>
      </c>
      <c r="R27" s="129">
        <f>H27*Q27</f>
        <v>577.89600000000007</v>
      </c>
      <c r="S27" s="128"/>
      <c r="T27" s="129"/>
      <c r="U27" s="125">
        <v>0.1</v>
      </c>
      <c r="V27" s="126">
        <f>H27*U27</f>
        <v>577.89600000000007</v>
      </c>
      <c r="W27" s="127">
        <f t="shared" si="5"/>
        <v>8090.5439999999999</v>
      </c>
      <c r="X27" s="115">
        <f t="shared" si="6"/>
        <v>64724.351999999999</v>
      </c>
      <c r="Y27" s="183"/>
      <c r="Z27" s="184">
        <f t="shared" si="7"/>
        <v>5778.96</v>
      </c>
      <c r="AA27" s="185">
        <f t="shared" si="13"/>
        <v>577.89600000000007</v>
      </c>
      <c r="AB27" s="186">
        <f t="shared" si="8"/>
        <v>71081.207999999999</v>
      </c>
      <c r="AC27" s="156"/>
      <c r="AD27" s="121"/>
      <c r="AE27" s="121"/>
      <c r="AF27" s="121"/>
    </row>
    <row r="28" spans="1:32" x14ac:dyDescent="0.2">
      <c r="A28" s="20">
        <f t="shared" si="14"/>
        <v>17</v>
      </c>
      <c r="B28" s="241" t="s">
        <v>48</v>
      </c>
      <c r="C28" s="231">
        <v>12</v>
      </c>
      <c r="D28" s="113">
        <v>6133</v>
      </c>
      <c r="E28" s="227">
        <f t="shared" si="1"/>
        <v>613.30000000000007</v>
      </c>
      <c r="F28" s="68">
        <f t="shared" si="2"/>
        <v>6746.3</v>
      </c>
      <c r="G28" s="242">
        <v>1.8</v>
      </c>
      <c r="H28" s="122">
        <f t="shared" si="3"/>
        <v>12143.34</v>
      </c>
      <c r="I28" s="131">
        <v>0.1</v>
      </c>
      <c r="J28" s="122">
        <f t="shared" si="4"/>
        <v>1214.3340000000001</v>
      </c>
      <c r="K28" s="128"/>
      <c r="L28" s="124"/>
      <c r="M28" s="124"/>
      <c r="N28" s="124"/>
      <c r="O28" s="243">
        <v>0.2</v>
      </c>
      <c r="P28" s="129">
        <f>H28*O28</f>
        <v>2428.6680000000001</v>
      </c>
      <c r="Q28" s="131">
        <v>0.1</v>
      </c>
      <c r="R28" s="129">
        <f t="shared" si="10"/>
        <v>1214.3340000000001</v>
      </c>
      <c r="S28" s="128"/>
      <c r="T28" s="129"/>
      <c r="U28" s="125">
        <v>0.1</v>
      </c>
      <c r="V28" s="126">
        <f t="shared" si="11"/>
        <v>1214.3340000000001</v>
      </c>
      <c r="W28" s="127">
        <f t="shared" si="5"/>
        <v>18215.009999999998</v>
      </c>
      <c r="X28" s="115">
        <f t="shared" si="6"/>
        <v>145720.07999999999</v>
      </c>
      <c r="Y28" s="183"/>
      <c r="Z28" s="184">
        <f t="shared" si="7"/>
        <v>12143.34</v>
      </c>
      <c r="AA28" s="185">
        <f t="shared" si="13"/>
        <v>1214.3340000000001</v>
      </c>
      <c r="AB28" s="186">
        <f t="shared" si="8"/>
        <v>159077.75399999999</v>
      </c>
      <c r="AC28" s="156"/>
      <c r="AD28" s="121"/>
      <c r="AE28" s="121"/>
      <c r="AF28" s="121"/>
    </row>
    <row r="29" spans="1:32" x14ac:dyDescent="0.2">
      <c r="A29" s="20">
        <f t="shared" si="14"/>
        <v>18</v>
      </c>
      <c r="B29" s="241" t="s">
        <v>50</v>
      </c>
      <c r="C29" s="231">
        <v>12</v>
      </c>
      <c r="D29" s="113">
        <v>6133</v>
      </c>
      <c r="E29" s="227">
        <f t="shared" si="1"/>
        <v>613.30000000000007</v>
      </c>
      <c r="F29" s="68">
        <f t="shared" si="2"/>
        <v>6746.3</v>
      </c>
      <c r="G29" s="242">
        <v>1.22</v>
      </c>
      <c r="H29" s="122">
        <f t="shared" si="3"/>
        <v>8230.4860000000008</v>
      </c>
      <c r="I29" s="131">
        <v>0.3</v>
      </c>
      <c r="J29" s="122">
        <f t="shared" si="4"/>
        <v>2469.1458000000002</v>
      </c>
      <c r="K29" s="128"/>
      <c r="L29" s="124"/>
      <c r="M29" s="124"/>
      <c r="N29" s="124"/>
      <c r="O29" s="243">
        <v>0.2</v>
      </c>
      <c r="P29" s="129"/>
      <c r="Q29" s="131">
        <v>0.1</v>
      </c>
      <c r="R29" s="129">
        <f t="shared" si="10"/>
        <v>823.04860000000008</v>
      </c>
      <c r="S29" s="128"/>
      <c r="T29" s="129"/>
      <c r="U29" s="125">
        <v>0.1</v>
      </c>
      <c r="V29" s="126">
        <f t="shared" si="11"/>
        <v>823.04860000000008</v>
      </c>
      <c r="W29" s="127">
        <f t="shared" si="5"/>
        <v>12345.729000000001</v>
      </c>
      <c r="X29" s="115">
        <f t="shared" si="6"/>
        <v>98765.832000000009</v>
      </c>
      <c r="Y29" s="183"/>
      <c r="Z29" s="184">
        <f t="shared" si="7"/>
        <v>8230.4860000000008</v>
      </c>
      <c r="AA29" s="185">
        <f t="shared" si="13"/>
        <v>823.04860000000008</v>
      </c>
      <c r="AB29" s="186">
        <f t="shared" si="8"/>
        <v>107819.36660000001</v>
      </c>
      <c r="AC29" s="156"/>
      <c r="AD29" s="121"/>
      <c r="AE29" s="121"/>
      <c r="AF29" s="121"/>
    </row>
    <row r="30" spans="1:32" x14ac:dyDescent="0.2">
      <c r="A30" s="20">
        <f t="shared" si="14"/>
        <v>19</v>
      </c>
      <c r="B30" s="241" t="s">
        <v>51</v>
      </c>
      <c r="C30" s="231">
        <v>10</v>
      </c>
      <c r="D30" s="113">
        <v>5265</v>
      </c>
      <c r="E30" s="227">
        <f t="shared" si="1"/>
        <v>526.5</v>
      </c>
      <c r="F30" s="68">
        <f t="shared" si="2"/>
        <v>5791.5</v>
      </c>
      <c r="G30" s="242">
        <v>1.88</v>
      </c>
      <c r="H30" s="122">
        <f t="shared" si="3"/>
        <v>10888.019999999999</v>
      </c>
      <c r="I30" s="131"/>
      <c r="J30" s="122">
        <f t="shared" si="4"/>
        <v>0</v>
      </c>
      <c r="K30" s="128"/>
      <c r="L30" s="124"/>
      <c r="M30" s="124"/>
      <c r="N30" s="124"/>
      <c r="O30" s="243"/>
      <c r="P30" s="129"/>
      <c r="Q30" s="131">
        <v>0.15</v>
      </c>
      <c r="R30" s="129">
        <f t="shared" si="10"/>
        <v>1633.2029999999997</v>
      </c>
      <c r="S30" s="128"/>
      <c r="T30" s="129"/>
      <c r="U30" s="125">
        <v>0.1</v>
      </c>
      <c r="V30" s="126">
        <f t="shared" si="11"/>
        <v>1088.8019999999999</v>
      </c>
      <c r="W30" s="127">
        <f t="shared" si="5"/>
        <v>13610.024999999998</v>
      </c>
      <c r="X30" s="115">
        <f t="shared" si="6"/>
        <v>108880.19999999998</v>
      </c>
      <c r="Y30" s="183"/>
      <c r="Z30" s="184">
        <f t="shared" si="7"/>
        <v>10888.019999999999</v>
      </c>
      <c r="AA30" s="185">
        <f t="shared" si="13"/>
        <v>1088.8019999999999</v>
      </c>
      <c r="AB30" s="186">
        <f t="shared" si="8"/>
        <v>120857.02199999998</v>
      </c>
      <c r="AC30" s="156"/>
      <c r="AD30" s="121"/>
      <c r="AE30" s="121"/>
      <c r="AF30" s="121"/>
    </row>
    <row r="31" spans="1:32" x14ac:dyDescent="0.2">
      <c r="A31" s="20">
        <f t="shared" si="14"/>
        <v>20</v>
      </c>
      <c r="B31" s="241" t="s">
        <v>47</v>
      </c>
      <c r="C31" s="231">
        <v>12</v>
      </c>
      <c r="D31" s="113">
        <v>6133</v>
      </c>
      <c r="E31" s="227">
        <f t="shared" si="1"/>
        <v>613.30000000000007</v>
      </c>
      <c r="F31" s="68">
        <f t="shared" si="2"/>
        <v>6746.3</v>
      </c>
      <c r="G31" s="242">
        <v>1.35</v>
      </c>
      <c r="H31" s="122">
        <f t="shared" si="3"/>
        <v>9107.505000000001</v>
      </c>
      <c r="I31" s="131">
        <v>0.1</v>
      </c>
      <c r="J31" s="122">
        <f t="shared" si="4"/>
        <v>910.7505000000001</v>
      </c>
      <c r="K31" s="128"/>
      <c r="L31" s="124"/>
      <c r="M31" s="124"/>
      <c r="N31" s="124"/>
      <c r="O31" s="243"/>
      <c r="P31" s="129"/>
      <c r="Q31" s="131"/>
      <c r="R31" s="129"/>
      <c r="S31" s="128"/>
      <c r="T31" s="129"/>
      <c r="U31" s="125">
        <v>0.1</v>
      </c>
      <c r="V31" s="126">
        <f t="shared" si="11"/>
        <v>910.7505000000001</v>
      </c>
      <c r="W31" s="127">
        <f t="shared" si="5"/>
        <v>10929.006000000001</v>
      </c>
      <c r="X31" s="115">
        <f t="shared" si="6"/>
        <v>87432.04800000001</v>
      </c>
      <c r="Y31" s="183"/>
      <c r="Z31" s="184">
        <f t="shared" si="7"/>
        <v>9107.505000000001</v>
      </c>
      <c r="AA31" s="185">
        <f t="shared" si="13"/>
        <v>910.7505000000001</v>
      </c>
      <c r="AB31" s="186">
        <f t="shared" si="8"/>
        <v>97450.303500000009</v>
      </c>
      <c r="AC31" s="156"/>
      <c r="AD31" s="121"/>
      <c r="AE31" s="121"/>
      <c r="AF31" s="121"/>
    </row>
    <row r="32" spans="1:32" x14ac:dyDescent="0.2">
      <c r="A32" s="20">
        <f t="shared" si="14"/>
        <v>21</v>
      </c>
      <c r="B32" s="241" t="s">
        <v>107</v>
      </c>
      <c r="C32" s="231">
        <v>11</v>
      </c>
      <c r="D32" s="113">
        <v>5699</v>
      </c>
      <c r="E32" s="227">
        <f t="shared" si="1"/>
        <v>569.9</v>
      </c>
      <c r="F32" s="68">
        <f t="shared" si="2"/>
        <v>6268.9</v>
      </c>
      <c r="G32" s="242">
        <v>3.7</v>
      </c>
      <c r="H32" s="122">
        <f t="shared" si="3"/>
        <v>23194.93</v>
      </c>
      <c r="I32" s="243">
        <v>0.2</v>
      </c>
      <c r="J32" s="122">
        <f t="shared" si="4"/>
        <v>4638.9859999999999</v>
      </c>
      <c r="K32" s="128"/>
      <c r="L32" s="124"/>
      <c r="M32" s="124"/>
      <c r="N32" s="124"/>
      <c r="O32" s="243"/>
      <c r="P32" s="129"/>
      <c r="Q32" s="131">
        <v>0.2</v>
      </c>
      <c r="R32" s="129">
        <f t="shared" si="10"/>
        <v>4638.9859999999999</v>
      </c>
      <c r="S32" s="128"/>
      <c r="T32" s="129"/>
      <c r="U32" s="125">
        <v>0.1</v>
      </c>
      <c r="V32" s="126">
        <f t="shared" si="11"/>
        <v>2319.4929999999999</v>
      </c>
      <c r="W32" s="127">
        <f t="shared" si="5"/>
        <v>34792.395000000004</v>
      </c>
      <c r="X32" s="115">
        <f t="shared" si="6"/>
        <v>278339.16000000003</v>
      </c>
      <c r="Y32" s="183"/>
      <c r="Z32" s="184">
        <f t="shared" si="7"/>
        <v>23194.93</v>
      </c>
      <c r="AA32" s="185">
        <f t="shared" si="13"/>
        <v>2319.4929999999999</v>
      </c>
      <c r="AB32" s="186">
        <f t="shared" si="8"/>
        <v>303853.58300000004</v>
      </c>
      <c r="AC32" s="156"/>
      <c r="AD32" s="121"/>
      <c r="AE32" s="121"/>
      <c r="AF32" s="121"/>
    </row>
    <row r="33" spans="1:32" x14ac:dyDescent="0.2">
      <c r="A33" s="20">
        <f t="shared" si="14"/>
        <v>22</v>
      </c>
      <c r="B33" s="241" t="s">
        <v>49</v>
      </c>
      <c r="C33" s="231">
        <v>12</v>
      </c>
      <c r="D33" s="113">
        <v>6133</v>
      </c>
      <c r="E33" s="227">
        <f t="shared" si="1"/>
        <v>613.30000000000007</v>
      </c>
      <c r="F33" s="68">
        <f t="shared" si="2"/>
        <v>6746.3</v>
      </c>
      <c r="G33" s="242">
        <v>1.1000000000000001</v>
      </c>
      <c r="H33" s="122">
        <f t="shared" si="3"/>
        <v>7420.9300000000012</v>
      </c>
      <c r="I33" s="243">
        <v>0.1</v>
      </c>
      <c r="J33" s="122">
        <f t="shared" si="4"/>
        <v>742.09300000000019</v>
      </c>
      <c r="K33" s="128"/>
      <c r="L33" s="124"/>
      <c r="M33" s="124"/>
      <c r="N33" s="124"/>
      <c r="O33" s="131">
        <v>0.2</v>
      </c>
      <c r="P33" s="129">
        <f t="shared" si="12"/>
        <v>1484.1860000000004</v>
      </c>
      <c r="Q33" s="131">
        <v>0.1</v>
      </c>
      <c r="R33" s="129">
        <f t="shared" si="10"/>
        <v>742.09300000000019</v>
      </c>
      <c r="S33" s="128"/>
      <c r="T33" s="129"/>
      <c r="U33" s="125">
        <v>0.1</v>
      </c>
      <c r="V33" s="126">
        <f t="shared" si="11"/>
        <v>742.09300000000019</v>
      </c>
      <c r="W33" s="127">
        <f t="shared" si="5"/>
        <v>11131.395000000002</v>
      </c>
      <c r="X33" s="115">
        <f t="shared" si="6"/>
        <v>89051.160000000018</v>
      </c>
      <c r="Y33" s="183"/>
      <c r="Z33" s="184">
        <f t="shared" si="7"/>
        <v>7420.9300000000012</v>
      </c>
      <c r="AA33" s="185">
        <f t="shared" si="13"/>
        <v>742.09300000000019</v>
      </c>
      <c r="AB33" s="186">
        <f t="shared" si="8"/>
        <v>97214.183000000019</v>
      </c>
      <c r="AC33" s="156"/>
      <c r="AD33" s="121"/>
      <c r="AE33" s="121"/>
      <c r="AF33" s="121"/>
    </row>
    <row r="34" spans="1:32" x14ac:dyDescent="0.2">
      <c r="A34" s="20">
        <f t="shared" si="14"/>
        <v>23</v>
      </c>
      <c r="B34" s="241" t="s">
        <v>52</v>
      </c>
      <c r="C34" s="231">
        <v>14</v>
      </c>
      <c r="D34" s="113">
        <v>7001</v>
      </c>
      <c r="E34" s="227">
        <f t="shared" si="1"/>
        <v>700.1</v>
      </c>
      <c r="F34" s="68">
        <f t="shared" si="2"/>
        <v>7701.1</v>
      </c>
      <c r="G34" s="242">
        <v>0.97</v>
      </c>
      <c r="H34" s="122">
        <f t="shared" si="3"/>
        <v>7470.067</v>
      </c>
      <c r="I34" s="243">
        <v>0.3</v>
      </c>
      <c r="J34" s="122">
        <f t="shared" si="4"/>
        <v>2241.0200999999997</v>
      </c>
      <c r="K34" s="128"/>
      <c r="L34" s="124"/>
      <c r="M34" s="123">
        <v>0.1</v>
      </c>
      <c r="N34" s="124">
        <f>H34*M34</f>
        <v>747.00670000000002</v>
      </c>
      <c r="O34" s="131"/>
      <c r="P34" s="129"/>
      <c r="Q34" s="131"/>
      <c r="R34" s="129"/>
      <c r="S34" s="128"/>
      <c r="T34" s="129"/>
      <c r="U34" s="125">
        <v>0.1</v>
      </c>
      <c r="V34" s="126">
        <f t="shared" si="11"/>
        <v>747.00670000000002</v>
      </c>
      <c r="W34" s="127">
        <f t="shared" si="5"/>
        <v>11205.1005</v>
      </c>
      <c r="X34" s="115">
        <f t="shared" si="6"/>
        <v>89640.804000000004</v>
      </c>
      <c r="Y34" s="183"/>
      <c r="Z34" s="184">
        <f t="shared" si="7"/>
        <v>7470.067</v>
      </c>
      <c r="AA34" s="185">
        <f t="shared" si="13"/>
        <v>747.00670000000002</v>
      </c>
      <c r="AB34" s="186">
        <f t="shared" si="8"/>
        <v>97857.877699999997</v>
      </c>
      <c r="AC34" s="156"/>
      <c r="AD34" s="121"/>
      <c r="AE34" s="121"/>
      <c r="AF34" s="121"/>
    </row>
    <row r="35" spans="1:32" x14ac:dyDescent="0.2">
      <c r="A35" s="20">
        <f t="shared" si="14"/>
        <v>24</v>
      </c>
      <c r="B35" s="241" t="s">
        <v>53</v>
      </c>
      <c r="C35" s="231">
        <v>14</v>
      </c>
      <c r="D35" s="113">
        <v>7001</v>
      </c>
      <c r="E35" s="227">
        <f t="shared" si="1"/>
        <v>700.1</v>
      </c>
      <c r="F35" s="68">
        <f t="shared" si="2"/>
        <v>7701.1</v>
      </c>
      <c r="G35" s="242">
        <v>0.25</v>
      </c>
      <c r="H35" s="122">
        <f t="shared" si="3"/>
        <v>1925.2750000000001</v>
      </c>
      <c r="I35" s="243">
        <v>0.3</v>
      </c>
      <c r="J35" s="244">
        <f t="shared" si="4"/>
        <v>577.58249999999998</v>
      </c>
      <c r="K35" s="128"/>
      <c r="L35" s="124"/>
      <c r="M35" s="124"/>
      <c r="N35" s="124"/>
      <c r="O35" s="131"/>
      <c r="P35" s="129"/>
      <c r="Q35" s="131"/>
      <c r="R35" s="129"/>
      <c r="S35" s="128"/>
      <c r="T35" s="129"/>
      <c r="U35" s="125">
        <v>0.1</v>
      </c>
      <c r="V35" s="126">
        <f t="shared" si="11"/>
        <v>192.52750000000003</v>
      </c>
      <c r="W35" s="127">
        <f t="shared" si="5"/>
        <v>2695.3850000000002</v>
      </c>
      <c r="X35" s="115">
        <f t="shared" si="6"/>
        <v>21563.08</v>
      </c>
      <c r="Y35" s="183"/>
      <c r="Z35" s="184">
        <f t="shared" si="7"/>
        <v>1925.2750000000001</v>
      </c>
      <c r="AA35" s="185">
        <f t="shared" si="13"/>
        <v>192.52750000000003</v>
      </c>
      <c r="AB35" s="186">
        <f t="shared" si="8"/>
        <v>23680.882500000003</v>
      </c>
      <c r="AC35" s="156"/>
      <c r="AD35" s="121"/>
      <c r="AE35" s="121"/>
      <c r="AF35" s="121"/>
    </row>
    <row r="36" spans="1:32" x14ac:dyDescent="0.2">
      <c r="A36" s="20">
        <f t="shared" si="14"/>
        <v>25</v>
      </c>
      <c r="B36" s="241" t="s">
        <v>54</v>
      </c>
      <c r="C36" s="231">
        <v>14</v>
      </c>
      <c r="D36" s="113">
        <v>7001</v>
      </c>
      <c r="E36" s="227">
        <f t="shared" si="1"/>
        <v>700.1</v>
      </c>
      <c r="F36" s="68">
        <f t="shared" si="2"/>
        <v>7701.1</v>
      </c>
      <c r="G36" s="242">
        <v>0.52</v>
      </c>
      <c r="H36" s="122">
        <f t="shared" si="3"/>
        <v>4004.5720000000001</v>
      </c>
      <c r="I36" s="243">
        <v>0.3</v>
      </c>
      <c r="J36" s="244">
        <f t="shared" si="4"/>
        <v>1201.3715999999999</v>
      </c>
      <c r="K36" s="128"/>
      <c r="L36" s="124"/>
      <c r="M36" s="124"/>
      <c r="N36" s="124"/>
      <c r="O36" s="131"/>
      <c r="P36" s="129"/>
      <c r="Q36" s="131"/>
      <c r="R36" s="129"/>
      <c r="S36" s="128"/>
      <c r="T36" s="129"/>
      <c r="U36" s="125">
        <v>0.1</v>
      </c>
      <c r="V36" s="126">
        <f t="shared" si="11"/>
        <v>400.45720000000006</v>
      </c>
      <c r="W36" s="127">
        <f t="shared" si="5"/>
        <v>5606.4008000000003</v>
      </c>
      <c r="X36" s="115">
        <f t="shared" si="6"/>
        <v>44851.206400000003</v>
      </c>
      <c r="Y36" s="183"/>
      <c r="Z36" s="184">
        <f t="shared" si="7"/>
        <v>4004.5720000000001</v>
      </c>
      <c r="AA36" s="185">
        <f t="shared" si="13"/>
        <v>400.45720000000006</v>
      </c>
      <c r="AB36" s="186">
        <f t="shared" si="8"/>
        <v>49256.2356</v>
      </c>
      <c r="AC36" s="156"/>
      <c r="AD36" s="121"/>
      <c r="AE36" s="121"/>
      <c r="AF36" s="121"/>
    </row>
    <row r="37" spans="1:32" x14ac:dyDescent="0.2">
      <c r="A37" s="20">
        <f t="shared" si="14"/>
        <v>26</v>
      </c>
      <c r="B37" s="241" t="s">
        <v>55</v>
      </c>
      <c r="C37" s="231">
        <v>14</v>
      </c>
      <c r="D37" s="113">
        <v>7001</v>
      </c>
      <c r="E37" s="227">
        <f t="shared" si="1"/>
        <v>700.1</v>
      </c>
      <c r="F37" s="68">
        <f t="shared" si="2"/>
        <v>7701.1</v>
      </c>
      <c r="G37" s="242">
        <v>0.37</v>
      </c>
      <c r="H37" s="122">
        <f t="shared" si="3"/>
        <v>2849.4070000000002</v>
      </c>
      <c r="I37" s="243">
        <v>0.3</v>
      </c>
      <c r="J37" s="244">
        <f t="shared" si="4"/>
        <v>854.82209999999998</v>
      </c>
      <c r="K37" s="128"/>
      <c r="L37" s="124"/>
      <c r="M37" s="124"/>
      <c r="N37" s="124"/>
      <c r="O37" s="131"/>
      <c r="P37" s="129"/>
      <c r="Q37" s="131"/>
      <c r="R37" s="129"/>
      <c r="S37" s="128"/>
      <c r="T37" s="129"/>
      <c r="U37" s="125">
        <v>0.1</v>
      </c>
      <c r="V37" s="126">
        <f t="shared" si="11"/>
        <v>284.94070000000005</v>
      </c>
      <c r="W37" s="127">
        <f t="shared" si="5"/>
        <v>3989.1698000000001</v>
      </c>
      <c r="X37" s="115">
        <f t="shared" si="6"/>
        <v>31913.358400000001</v>
      </c>
      <c r="Y37" s="183"/>
      <c r="Z37" s="184">
        <f t="shared" si="7"/>
        <v>2849.4070000000002</v>
      </c>
      <c r="AA37" s="185">
        <f t="shared" si="13"/>
        <v>284.94070000000005</v>
      </c>
      <c r="AB37" s="186">
        <f t="shared" si="8"/>
        <v>35047.706100000003</v>
      </c>
      <c r="AC37" s="156"/>
      <c r="AD37" s="121"/>
      <c r="AE37" s="121"/>
      <c r="AF37" s="121"/>
    </row>
    <row r="38" spans="1:32" x14ac:dyDescent="0.2">
      <c r="A38" s="20">
        <f t="shared" si="14"/>
        <v>27</v>
      </c>
      <c r="B38" s="241" t="s">
        <v>74</v>
      </c>
      <c r="C38" s="231">
        <v>11</v>
      </c>
      <c r="D38" s="113">
        <v>5699</v>
      </c>
      <c r="E38" s="227">
        <f t="shared" si="1"/>
        <v>569.9</v>
      </c>
      <c r="F38" s="68">
        <f t="shared" si="2"/>
        <v>6268.9</v>
      </c>
      <c r="G38" s="242">
        <v>0.68</v>
      </c>
      <c r="H38" s="122">
        <f t="shared" si="3"/>
        <v>4262.8519999999999</v>
      </c>
      <c r="I38" s="243">
        <v>0.1</v>
      </c>
      <c r="J38" s="244">
        <f t="shared" si="4"/>
        <v>426.28520000000003</v>
      </c>
      <c r="K38" s="128"/>
      <c r="L38" s="124"/>
      <c r="M38" s="123"/>
      <c r="N38" s="124"/>
      <c r="O38" s="131"/>
      <c r="P38" s="129"/>
      <c r="Q38" s="131"/>
      <c r="R38" s="129"/>
      <c r="S38" s="128"/>
      <c r="T38" s="129"/>
      <c r="U38" s="125">
        <v>0.1</v>
      </c>
      <c r="V38" s="126">
        <f>H38*U38</f>
        <v>426.28520000000003</v>
      </c>
      <c r="W38" s="127">
        <f t="shared" si="5"/>
        <v>5115.4224000000004</v>
      </c>
      <c r="X38" s="115">
        <f t="shared" si="6"/>
        <v>40923.379200000003</v>
      </c>
      <c r="Y38" s="183"/>
      <c r="Z38" s="184">
        <f t="shared" si="7"/>
        <v>4262.8519999999999</v>
      </c>
      <c r="AA38" s="185">
        <f t="shared" si="13"/>
        <v>426.28520000000003</v>
      </c>
      <c r="AB38" s="186">
        <f t="shared" si="8"/>
        <v>45612.5164</v>
      </c>
      <c r="AC38" s="156"/>
      <c r="AD38" s="121"/>
      <c r="AE38" s="121"/>
      <c r="AF38" s="121"/>
    </row>
    <row r="39" spans="1:32" x14ac:dyDescent="0.2">
      <c r="A39" s="20">
        <f t="shared" si="14"/>
        <v>28</v>
      </c>
      <c r="B39" s="241" t="s">
        <v>75</v>
      </c>
      <c r="C39" s="231">
        <v>11</v>
      </c>
      <c r="D39" s="113">
        <v>5699</v>
      </c>
      <c r="E39" s="227">
        <f t="shared" si="1"/>
        <v>569.9</v>
      </c>
      <c r="F39" s="68">
        <f t="shared" si="2"/>
        <v>6268.9</v>
      </c>
      <c r="G39" s="242">
        <v>0.35</v>
      </c>
      <c r="H39" s="122">
        <f t="shared" si="3"/>
        <v>2194.1149999999998</v>
      </c>
      <c r="I39" s="243">
        <v>0.1</v>
      </c>
      <c r="J39" s="244">
        <f t="shared" si="4"/>
        <v>219.41149999999999</v>
      </c>
      <c r="K39" s="128"/>
      <c r="L39" s="124"/>
      <c r="M39" s="123"/>
      <c r="N39" s="124"/>
      <c r="O39" s="131"/>
      <c r="P39" s="129"/>
      <c r="Q39" s="131"/>
      <c r="R39" s="129"/>
      <c r="S39" s="128"/>
      <c r="T39" s="129"/>
      <c r="U39" s="125">
        <v>0.1</v>
      </c>
      <c r="V39" s="126">
        <f>H39*U39</f>
        <v>219.41149999999999</v>
      </c>
      <c r="W39" s="127">
        <f t="shared" si="5"/>
        <v>2632.9380000000001</v>
      </c>
      <c r="X39" s="115">
        <f t="shared" si="6"/>
        <v>21063.504000000001</v>
      </c>
      <c r="Y39" s="183"/>
      <c r="Z39" s="184">
        <f t="shared" si="7"/>
        <v>2194.1149999999998</v>
      </c>
      <c r="AA39" s="185">
        <f t="shared" si="13"/>
        <v>219.41149999999999</v>
      </c>
      <c r="AB39" s="186">
        <f t="shared" si="8"/>
        <v>23477.030499999997</v>
      </c>
      <c r="AC39" s="156"/>
      <c r="AD39" s="121"/>
      <c r="AE39" s="121"/>
      <c r="AF39" s="121"/>
    </row>
    <row r="40" spans="1:32" x14ac:dyDescent="0.2">
      <c r="A40" s="20">
        <f t="shared" si="14"/>
        <v>29</v>
      </c>
      <c r="B40" s="241" t="s">
        <v>79</v>
      </c>
      <c r="C40" s="231">
        <v>11</v>
      </c>
      <c r="D40" s="113">
        <v>5699</v>
      </c>
      <c r="E40" s="227">
        <f t="shared" si="1"/>
        <v>569.9</v>
      </c>
      <c r="F40" s="68">
        <f t="shared" si="2"/>
        <v>6268.9</v>
      </c>
      <c r="G40" s="242">
        <v>0.15</v>
      </c>
      <c r="H40" s="122">
        <f t="shared" si="3"/>
        <v>940.33499999999992</v>
      </c>
      <c r="I40" s="131">
        <v>0.1</v>
      </c>
      <c r="J40" s="244">
        <f t="shared" si="4"/>
        <v>94.033500000000004</v>
      </c>
      <c r="K40" s="128"/>
      <c r="L40" s="124"/>
      <c r="M40" s="125"/>
      <c r="N40" s="124"/>
      <c r="O40" s="131"/>
      <c r="P40" s="129"/>
      <c r="Q40" s="131"/>
      <c r="R40" s="129"/>
      <c r="S40" s="128"/>
      <c r="T40" s="129"/>
      <c r="U40" s="125">
        <v>0.1</v>
      </c>
      <c r="V40" s="126">
        <f t="shared" si="11"/>
        <v>94.033500000000004</v>
      </c>
      <c r="W40" s="127">
        <f t="shared" si="5"/>
        <v>1128.402</v>
      </c>
      <c r="X40" s="115">
        <f t="shared" si="6"/>
        <v>9027.2160000000003</v>
      </c>
      <c r="Y40" s="183"/>
      <c r="Z40" s="184">
        <f t="shared" si="7"/>
        <v>940.33499999999992</v>
      </c>
      <c r="AA40" s="185">
        <f t="shared" si="13"/>
        <v>94.033500000000004</v>
      </c>
      <c r="AB40" s="186">
        <f t="shared" si="8"/>
        <v>10061.584499999999</v>
      </c>
      <c r="AC40" s="156"/>
      <c r="AD40" s="121"/>
      <c r="AE40" s="121"/>
      <c r="AF40" s="121"/>
    </row>
    <row r="41" spans="1:32" x14ac:dyDescent="0.2">
      <c r="A41" s="20">
        <f t="shared" si="14"/>
        <v>30</v>
      </c>
      <c r="B41" s="241" t="s">
        <v>80</v>
      </c>
      <c r="C41" s="231">
        <v>11</v>
      </c>
      <c r="D41" s="113">
        <v>5699</v>
      </c>
      <c r="E41" s="227">
        <f t="shared" si="1"/>
        <v>569.9</v>
      </c>
      <c r="F41" s="68">
        <f t="shared" si="2"/>
        <v>6268.9</v>
      </c>
      <c r="G41" s="242">
        <v>0.1</v>
      </c>
      <c r="H41" s="122">
        <f t="shared" si="3"/>
        <v>626.89</v>
      </c>
      <c r="I41" s="131">
        <v>0.1</v>
      </c>
      <c r="J41" s="244">
        <f t="shared" si="4"/>
        <v>62.689</v>
      </c>
      <c r="K41" s="128"/>
      <c r="L41" s="124"/>
      <c r="M41" s="125"/>
      <c r="N41" s="124"/>
      <c r="O41" s="131"/>
      <c r="P41" s="129"/>
      <c r="Q41" s="131"/>
      <c r="R41" s="129"/>
      <c r="S41" s="128"/>
      <c r="T41" s="129"/>
      <c r="U41" s="125">
        <v>0.1</v>
      </c>
      <c r="V41" s="126">
        <f t="shared" si="11"/>
        <v>62.689</v>
      </c>
      <c r="W41" s="127">
        <f t="shared" si="5"/>
        <v>752.26799999999992</v>
      </c>
      <c r="X41" s="115">
        <f t="shared" si="6"/>
        <v>6018.1439999999993</v>
      </c>
      <c r="Y41" s="183"/>
      <c r="Z41" s="184">
        <f t="shared" si="7"/>
        <v>626.89</v>
      </c>
      <c r="AA41" s="185">
        <f t="shared" si="13"/>
        <v>62.689</v>
      </c>
      <c r="AB41" s="186">
        <f t="shared" si="8"/>
        <v>6707.723</v>
      </c>
      <c r="AC41" s="156"/>
      <c r="AD41" s="121"/>
      <c r="AE41" s="121"/>
      <c r="AF41" s="121"/>
    </row>
    <row r="42" spans="1:32" x14ac:dyDescent="0.2">
      <c r="A42" s="20">
        <f>A41+1</f>
        <v>31</v>
      </c>
      <c r="B42" s="239" t="s">
        <v>41</v>
      </c>
      <c r="C42" s="231">
        <v>11</v>
      </c>
      <c r="D42" s="113">
        <v>5699</v>
      </c>
      <c r="E42" s="227">
        <f t="shared" si="1"/>
        <v>569.9</v>
      </c>
      <c r="F42" s="68">
        <f t="shared" si="2"/>
        <v>6268.9</v>
      </c>
      <c r="G42" s="242">
        <v>1</v>
      </c>
      <c r="H42" s="122">
        <f t="shared" si="3"/>
        <v>6268.9</v>
      </c>
      <c r="I42" s="131">
        <v>0.2</v>
      </c>
      <c r="J42" s="122">
        <f>H42*I42</f>
        <v>1253.78</v>
      </c>
      <c r="K42" s="128"/>
      <c r="L42" s="124"/>
      <c r="M42" s="124"/>
      <c r="N42" s="124"/>
      <c r="O42" s="131"/>
      <c r="P42" s="129"/>
      <c r="Q42" s="131"/>
      <c r="R42" s="129"/>
      <c r="S42" s="128"/>
      <c r="T42" s="129"/>
      <c r="U42" s="125">
        <v>0.1</v>
      </c>
      <c r="V42" s="126">
        <f>H42*U42</f>
        <v>626.89</v>
      </c>
      <c r="W42" s="127">
        <f t="shared" si="5"/>
        <v>8149.57</v>
      </c>
      <c r="X42" s="115">
        <f t="shared" si="6"/>
        <v>65196.56</v>
      </c>
      <c r="Y42" s="183"/>
      <c r="Z42" s="184">
        <f t="shared" si="7"/>
        <v>6268.9</v>
      </c>
      <c r="AA42" s="185">
        <f t="shared" si="13"/>
        <v>626.89</v>
      </c>
      <c r="AB42" s="186">
        <f t="shared" si="8"/>
        <v>72092.349999999991</v>
      </c>
      <c r="AC42" s="156"/>
      <c r="AD42" s="121"/>
      <c r="AE42" s="121"/>
      <c r="AF42" s="121"/>
    </row>
    <row r="43" spans="1:32" ht="13.5" thickBot="1" x14ac:dyDescent="0.25">
      <c r="A43" s="20">
        <f t="shared" si="14"/>
        <v>32</v>
      </c>
      <c r="B43" s="239" t="s">
        <v>64</v>
      </c>
      <c r="C43" s="231">
        <v>10</v>
      </c>
      <c r="D43" s="113">
        <v>5265</v>
      </c>
      <c r="E43" s="227">
        <f t="shared" si="1"/>
        <v>526.5</v>
      </c>
      <c r="F43" s="68">
        <f t="shared" si="2"/>
        <v>5791.5</v>
      </c>
      <c r="G43" s="242">
        <v>0.5</v>
      </c>
      <c r="H43" s="122">
        <f t="shared" si="3"/>
        <v>2895.75</v>
      </c>
      <c r="I43" s="131"/>
      <c r="J43" s="122">
        <f>H43*I43</f>
        <v>0</v>
      </c>
      <c r="K43" s="128"/>
      <c r="L43" s="124"/>
      <c r="M43" s="124"/>
      <c r="N43" s="124"/>
      <c r="O43" s="131"/>
      <c r="P43" s="129"/>
      <c r="Q43" s="131"/>
      <c r="R43" s="129"/>
      <c r="S43" s="128"/>
      <c r="T43" s="129"/>
      <c r="U43" s="125">
        <v>0.1</v>
      </c>
      <c r="V43" s="126">
        <f>H43*U43</f>
        <v>289.57499999999999</v>
      </c>
      <c r="W43" s="127">
        <f t="shared" si="5"/>
        <v>3185.3249999999998</v>
      </c>
      <c r="X43" s="115">
        <f t="shared" si="6"/>
        <v>25482.6</v>
      </c>
      <c r="Y43" s="245"/>
      <c r="Z43" s="184">
        <f t="shared" si="7"/>
        <v>2895.75</v>
      </c>
      <c r="AA43" s="185">
        <f>H43*3</f>
        <v>8687.25</v>
      </c>
      <c r="AB43" s="186">
        <f t="shared" si="8"/>
        <v>37065.599999999999</v>
      </c>
      <c r="AC43" s="156"/>
      <c r="AD43" s="121"/>
      <c r="AE43" s="121"/>
      <c r="AF43" s="121"/>
    </row>
    <row r="44" spans="1:32" ht="13.5" thickBot="1" x14ac:dyDescent="0.25">
      <c r="A44" s="72"/>
      <c r="B44" s="116" t="s">
        <v>71</v>
      </c>
      <c r="C44" s="72"/>
      <c r="D44" s="117"/>
      <c r="E44" s="117"/>
      <c r="F44" s="117"/>
      <c r="G44" s="117">
        <f>SUM(G11:G43)</f>
        <v>46.110000000000014</v>
      </c>
      <c r="H44" s="120">
        <f>SUM(H11:H43)</f>
        <v>323057.44900000002</v>
      </c>
      <c r="I44" s="118"/>
      <c r="J44" s="120">
        <f>SUM(J11:J43)</f>
        <v>63669.323299999996</v>
      </c>
      <c r="K44" s="118"/>
      <c r="L44" s="120">
        <f>SUM(L11:L43)</f>
        <v>4773.45</v>
      </c>
      <c r="M44" s="118"/>
      <c r="N44" s="118">
        <f>SUM(N11:N43)</f>
        <v>1132.0617000000002</v>
      </c>
      <c r="O44" s="118"/>
      <c r="P44" s="118">
        <f>SUM(P11:P43)</f>
        <v>27905.086000000003</v>
      </c>
      <c r="Q44" s="118"/>
      <c r="R44" s="118">
        <f>SUM(R11:R43)</f>
        <v>30165.097599999997</v>
      </c>
      <c r="S44" s="118"/>
      <c r="T44" s="118">
        <f>SUM(T11:T43)</f>
        <v>4174.7969999999996</v>
      </c>
      <c r="U44" s="118"/>
      <c r="V44" s="120">
        <f t="shared" ref="V44:AA44" si="16">SUM(V11:V43)</f>
        <v>32305.744900000002</v>
      </c>
      <c r="W44" s="120">
        <f t="shared" si="16"/>
        <v>487183.00949999999</v>
      </c>
      <c r="X44" s="161">
        <f t="shared" si="16"/>
        <v>3897464.0759999999</v>
      </c>
      <c r="Y44" s="161">
        <f t="shared" si="16"/>
        <v>0</v>
      </c>
      <c r="Z44" s="161">
        <f t="shared" si="16"/>
        <v>323057.44900000002</v>
      </c>
      <c r="AA44" s="161">
        <f t="shared" si="16"/>
        <v>79478.4899</v>
      </c>
      <c r="AB44" s="161">
        <f>SUM(AB11:AB43)-0.01</f>
        <v>4300000.0048999991</v>
      </c>
      <c r="AC44" s="178"/>
      <c r="AD44" s="163"/>
      <c r="AE44" s="145"/>
      <c r="AF44" s="121"/>
    </row>
    <row r="45" spans="1:32" x14ac:dyDescent="0.2">
      <c r="A45" s="111"/>
      <c r="B45" s="119" t="s">
        <v>70</v>
      </c>
      <c r="C45" s="113"/>
      <c r="D45" s="113"/>
      <c r="E45" s="112"/>
      <c r="F45" s="68"/>
      <c r="G45" s="41"/>
      <c r="H45" s="122"/>
      <c r="I45" s="131"/>
      <c r="J45" s="122"/>
      <c r="K45" s="125"/>
      <c r="L45" s="124"/>
      <c r="M45" s="124"/>
      <c r="N45" s="124"/>
      <c r="O45" s="131"/>
      <c r="P45" s="129"/>
      <c r="Q45" s="131"/>
      <c r="R45" s="129"/>
      <c r="S45" s="128"/>
      <c r="T45" s="129"/>
      <c r="U45" s="125"/>
      <c r="V45" s="126"/>
      <c r="W45" s="127"/>
      <c r="X45" s="115"/>
      <c r="Y45" s="187"/>
      <c r="Z45" s="188"/>
      <c r="AA45" s="185"/>
      <c r="AB45" s="189"/>
      <c r="AC45" s="156"/>
      <c r="AD45" s="163"/>
      <c r="AE45" s="121"/>
      <c r="AF45" s="121"/>
    </row>
    <row r="46" spans="1:32" x14ac:dyDescent="0.2">
      <c r="A46" s="111">
        <f>A43+1</f>
        <v>33</v>
      </c>
      <c r="B46" s="70" t="s">
        <v>43</v>
      </c>
      <c r="C46" s="113">
        <v>13</v>
      </c>
      <c r="D46" s="113">
        <v>6567</v>
      </c>
      <c r="E46" s="112">
        <f t="shared" si="1"/>
        <v>656.7</v>
      </c>
      <c r="F46" s="68">
        <f t="shared" si="2"/>
        <v>7223.7</v>
      </c>
      <c r="G46" s="41">
        <v>1.5</v>
      </c>
      <c r="H46" s="122">
        <f t="shared" si="3"/>
        <v>10835.55</v>
      </c>
      <c r="I46" s="131">
        <v>0.3</v>
      </c>
      <c r="J46" s="122">
        <f t="shared" ref="J46:J49" si="17">H46*I46</f>
        <v>3250.6649999999995</v>
      </c>
      <c r="K46" s="123"/>
      <c r="L46" s="124"/>
      <c r="M46" s="124"/>
      <c r="N46" s="124"/>
      <c r="O46" s="131"/>
      <c r="P46" s="129"/>
      <c r="Q46" s="131"/>
      <c r="R46" s="129"/>
      <c r="S46" s="128"/>
      <c r="T46" s="129"/>
      <c r="U46" s="132">
        <v>0.1</v>
      </c>
      <c r="V46" s="126">
        <f t="shared" ref="V46:V49" si="18">H46*U46</f>
        <v>1083.5550000000001</v>
      </c>
      <c r="W46" s="127">
        <f>H46+J46+L46+P46+R46+T46+V46+N46</f>
        <v>15169.769999999999</v>
      </c>
      <c r="X46" s="115">
        <f>W46*2</f>
        <v>30339.539999999997</v>
      </c>
      <c r="Y46" s="183"/>
      <c r="Z46" s="184"/>
      <c r="AA46" s="185">
        <v>305.56</v>
      </c>
      <c r="AB46" s="186">
        <f>X46+Y46+AA46+Z46</f>
        <v>30645.1</v>
      </c>
      <c r="AC46" s="156"/>
      <c r="AD46" s="163"/>
      <c r="AE46" s="121"/>
      <c r="AF46" s="121"/>
    </row>
    <row r="47" spans="1:32" x14ac:dyDescent="0.2">
      <c r="A47" s="111">
        <f t="shared" ref="A47:A49" si="19">A46+1</f>
        <v>34</v>
      </c>
      <c r="B47" s="70" t="s">
        <v>43</v>
      </c>
      <c r="C47" s="113">
        <v>13</v>
      </c>
      <c r="D47" s="113">
        <v>6567</v>
      </c>
      <c r="E47" s="112">
        <f t="shared" si="1"/>
        <v>656.7</v>
      </c>
      <c r="F47" s="68">
        <f t="shared" si="2"/>
        <v>7223.7</v>
      </c>
      <c r="G47" s="41">
        <v>1.5</v>
      </c>
      <c r="H47" s="122">
        <f t="shared" si="3"/>
        <v>10835.55</v>
      </c>
      <c r="I47" s="131">
        <v>0.2</v>
      </c>
      <c r="J47" s="122">
        <f t="shared" si="17"/>
        <v>2167.11</v>
      </c>
      <c r="K47" s="123"/>
      <c r="L47" s="124"/>
      <c r="M47" s="124"/>
      <c r="N47" s="124"/>
      <c r="O47" s="131"/>
      <c r="P47" s="129"/>
      <c r="Q47" s="131"/>
      <c r="R47" s="129"/>
      <c r="S47" s="128"/>
      <c r="T47" s="129"/>
      <c r="U47" s="132">
        <v>0.1</v>
      </c>
      <c r="V47" s="126">
        <f t="shared" si="18"/>
        <v>1083.5550000000001</v>
      </c>
      <c r="W47" s="127">
        <f t="shared" si="5"/>
        <v>14086.215</v>
      </c>
      <c r="X47" s="115">
        <f t="shared" ref="X47:X49" si="20">W47*2</f>
        <v>28172.43</v>
      </c>
      <c r="Y47" s="183"/>
      <c r="Z47" s="184"/>
      <c r="AA47" s="185"/>
      <c r="AB47" s="186">
        <f t="shared" ref="AB47:AB49" si="21">X47+Y47+AA47+Z47</f>
        <v>28172.43</v>
      </c>
      <c r="AC47" s="156"/>
      <c r="AD47" s="163"/>
      <c r="AE47" s="121"/>
      <c r="AF47" s="121"/>
    </row>
    <row r="48" spans="1:32" x14ac:dyDescent="0.2">
      <c r="A48" s="111">
        <f t="shared" si="19"/>
        <v>35</v>
      </c>
      <c r="B48" s="70" t="s">
        <v>43</v>
      </c>
      <c r="C48" s="113">
        <v>12</v>
      </c>
      <c r="D48" s="113">
        <v>6133</v>
      </c>
      <c r="E48" s="112">
        <f t="shared" si="1"/>
        <v>613.30000000000007</v>
      </c>
      <c r="F48" s="68">
        <f t="shared" si="2"/>
        <v>6746.3</v>
      </c>
      <c r="G48" s="41">
        <v>1.5</v>
      </c>
      <c r="H48" s="122">
        <f t="shared" si="3"/>
        <v>10119.450000000001</v>
      </c>
      <c r="I48" s="131">
        <v>0.1</v>
      </c>
      <c r="J48" s="122">
        <f t="shared" si="17"/>
        <v>1011.9450000000002</v>
      </c>
      <c r="K48" s="123"/>
      <c r="L48" s="124"/>
      <c r="M48" s="124"/>
      <c r="N48" s="124"/>
      <c r="O48" s="131"/>
      <c r="P48" s="129"/>
      <c r="Q48" s="131"/>
      <c r="R48" s="129"/>
      <c r="S48" s="128"/>
      <c r="T48" s="129"/>
      <c r="U48" s="132">
        <v>0.1</v>
      </c>
      <c r="V48" s="126">
        <f t="shared" si="18"/>
        <v>1011.9450000000002</v>
      </c>
      <c r="W48" s="127">
        <f t="shared" si="5"/>
        <v>12143.34</v>
      </c>
      <c r="X48" s="115">
        <f t="shared" si="20"/>
        <v>24286.68</v>
      </c>
      <c r="Y48" s="183"/>
      <c r="Z48" s="184"/>
      <c r="AA48" s="185"/>
      <c r="AB48" s="186">
        <f t="shared" si="21"/>
        <v>24286.68</v>
      </c>
      <c r="AC48" s="156"/>
      <c r="AD48" s="163"/>
      <c r="AE48" s="121"/>
      <c r="AF48" s="121"/>
    </row>
    <row r="49" spans="1:32" ht="13.5" thickBot="1" x14ac:dyDescent="0.25">
      <c r="A49" s="111">
        <f t="shared" si="19"/>
        <v>36</v>
      </c>
      <c r="B49" s="70" t="s">
        <v>43</v>
      </c>
      <c r="C49" s="113">
        <v>11</v>
      </c>
      <c r="D49" s="113">
        <v>5699</v>
      </c>
      <c r="E49" s="112">
        <f t="shared" si="1"/>
        <v>569.9</v>
      </c>
      <c r="F49" s="68">
        <f t="shared" si="2"/>
        <v>6268.9</v>
      </c>
      <c r="G49" s="41">
        <v>0.5</v>
      </c>
      <c r="H49" s="122">
        <f t="shared" si="3"/>
        <v>3134.45</v>
      </c>
      <c r="I49" s="131"/>
      <c r="J49" s="122">
        <f t="shared" si="17"/>
        <v>0</v>
      </c>
      <c r="K49" s="123"/>
      <c r="L49" s="124"/>
      <c r="M49" s="124"/>
      <c r="N49" s="124"/>
      <c r="O49" s="131"/>
      <c r="P49" s="129"/>
      <c r="Q49" s="131"/>
      <c r="R49" s="129"/>
      <c r="S49" s="128"/>
      <c r="T49" s="129"/>
      <c r="U49" s="132">
        <v>0.1</v>
      </c>
      <c r="V49" s="126">
        <f t="shared" si="18"/>
        <v>313.44499999999999</v>
      </c>
      <c r="W49" s="127">
        <f t="shared" si="5"/>
        <v>3447.895</v>
      </c>
      <c r="X49" s="115">
        <f t="shared" si="20"/>
        <v>6895.79</v>
      </c>
      <c r="Y49" s="183"/>
      <c r="Z49" s="184"/>
      <c r="AA49" s="185"/>
      <c r="AB49" s="186">
        <f t="shared" si="21"/>
        <v>6895.79</v>
      </c>
      <c r="AC49" s="156"/>
      <c r="AD49" s="163"/>
      <c r="AE49" s="121"/>
      <c r="AF49" s="121"/>
    </row>
    <row r="50" spans="1:32" ht="15.75" customHeight="1" thickBot="1" x14ac:dyDescent="0.25">
      <c r="A50" s="72"/>
      <c r="B50" s="116" t="s">
        <v>72</v>
      </c>
      <c r="C50" s="72"/>
      <c r="D50" s="117"/>
      <c r="E50" s="117"/>
      <c r="F50" s="117"/>
      <c r="G50" s="117">
        <f t="shared" ref="G50:AB50" si="22">SUM(G46:G49)</f>
        <v>5</v>
      </c>
      <c r="H50" s="133">
        <f t="shared" si="22"/>
        <v>34925</v>
      </c>
      <c r="I50" s="134"/>
      <c r="J50" s="133">
        <f t="shared" si="22"/>
        <v>6429.7199999999993</v>
      </c>
      <c r="K50" s="134"/>
      <c r="L50" s="133">
        <f t="shared" si="22"/>
        <v>0</v>
      </c>
      <c r="M50" s="134"/>
      <c r="N50" s="118">
        <f t="shared" si="22"/>
        <v>0</v>
      </c>
      <c r="O50" s="118"/>
      <c r="P50" s="118">
        <f t="shared" si="22"/>
        <v>0</v>
      </c>
      <c r="Q50" s="118"/>
      <c r="R50" s="118">
        <f t="shared" si="22"/>
        <v>0</v>
      </c>
      <c r="S50" s="118"/>
      <c r="T50" s="118">
        <f t="shared" si="22"/>
        <v>0</v>
      </c>
      <c r="U50" s="118"/>
      <c r="V50" s="120">
        <f t="shared" si="22"/>
        <v>3492.5000000000005</v>
      </c>
      <c r="W50" s="120">
        <f t="shared" si="22"/>
        <v>44847.219999999994</v>
      </c>
      <c r="X50" s="161">
        <f t="shared" si="22"/>
        <v>89694.439999999988</v>
      </c>
      <c r="Y50" s="161">
        <f t="shared" si="22"/>
        <v>0</v>
      </c>
      <c r="Z50" s="161">
        <f t="shared" si="22"/>
        <v>0</v>
      </c>
      <c r="AA50" s="161">
        <f t="shared" si="22"/>
        <v>305.56</v>
      </c>
      <c r="AB50" s="161">
        <f t="shared" si="22"/>
        <v>89999.999999999985</v>
      </c>
      <c r="AC50" s="145"/>
      <c r="AD50" s="163"/>
      <c r="AE50" s="121"/>
      <c r="AF50" s="121"/>
    </row>
    <row r="51" spans="1:32" ht="16.5" customHeight="1" thickBot="1" x14ac:dyDescent="0.25">
      <c r="A51" s="72"/>
      <c r="B51" s="116" t="s">
        <v>5</v>
      </c>
      <c r="C51" s="72"/>
      <c r="D51" s="117"/>
      <c r="E51" s="117"/>
      <c r="F51" s="117"/>
      <c r="G51" s="117">
        <f t="shared" ref="G51:AA51" si="23">G44+G50</f>
        <v>51.110000000000014</v>
      </c>
      <c r="H51" s="133">
        <f t="shared" si="23"/>
        <v>357982.44900000002</v>
      </c>
      <c r="I51" s="134"/>
      <c r="J51" s="133">
        <f t="shared" si="23"/>
        <v>70099.04329999999</v>
      </c>
      <c r="K51" s="134"/>
      <c r="L51" s="133">
        <f t="shared" si="23"/>
        <v>4773.45</v>
      </c>
      <c r="M51" s="134"/>
      <c r="N51" s="117">
        <f t="shared" si="23"/>
        <v>1132.0617000000002</v>
      </c>
      <c r="O51" s="117"/>
      <c r="P51" s="117">
        <f t="shared" si="23"/>
        <v>27905.086000000003</v>
      </c>
      <c r="Q51" s="117">
        <f t="shared" si="23"/>
        <v>0</v>
      </c>
      <c r="R51" s="117">
        <f t="shared" si="23"/>
        <v>30165.097599999997</v>
      </c>
      <c r="S51" s="117">
        <f t="shared" si="23"/>
        <v>0</v>
      </c>
      <c r="T51" s="117">
        <f t="shared" si="23"/>
        <v>4174.7969999999996</v>
      </c>
      <c r="U51" s="117">
        <f t="shared" si="23"/>
        <v>0</v>
      </c>
      <c r="V51" s="120">
        <f t="shared" si="23"/>
        <v>35798.244900000005</v>
      </c>
      <c r="W51" s="120">
        <f t="shared" si="23"/>
        <v>532030.22950000002</v>
      </c>
      <c r="X51" s="120">
        <f t="shared" si="23"/>
        <v>3987158.5159999998</v>
      </c>
      <c r="Y51" s="120">
        <f t="shared" si="23"/>
        <v>0</v>
      </c>
      <c r="Z51" s="120"/>
      <c r="AA51" s="120">
        <f t="shared" si="23"/>
        <v>79784.049899999998</v>
      </c>
      <c r="AB51" s="161">
        <f>AB44+AB50</f>
        <v>4390000.0048999991</v>
      </c>
      <c r="AC51" s="121"/>
      <c r="AD51" s="164"/>
    </row>
    <row r="52" spans="1:32" ht="18.75" customHeight="1" x14ac:dyDescent="0.2">
      <c r="A52" s="15"/>
      <c r="B52" s="23"/>
      <c r="C52" s="16"/>
      <c r="D52" s="16"/>
      <c r="E52" s="16"/>
      <c r="F52" s="97"/>
      <c r="G52" s="21"/>
      <c r="H52" s="135"/>
      <c r="I52" s="136"/>
      <c r="J52" s="135"/>
      <c r="K52" s="136"/>
      <c r="L52" s="135"/>
      <c r="M52" s="137"/>
      <c r="N52" s="99"/>
      <c r="O52" s="99"/>
      <c r="P52" s="99"/>
      <c r="Q52" s="99"/>
      <c r="R52" s="99"/>
      <c r="S52" s="99"/>
      <c r="T52" s="14"/>
      <c r="U52" s="17"/>
      <c r="V52" s="138"/>
      <c r="W52" s="139"/>
      <c r="X52" s="140"/>
      <c r="AA52" s="159" t="s">
        <v>77</v>
      </c>
      <c r="AB52" s="162">
        <f>AB51*0.22</f>
        <v>965800.00107799983</v>
      </c>
    </row>
    <row r="53" spans="1:32" ht="13.5" customHeight="1" x14ac:dyDescent="0.2">
      <c r="A53" s="15"/>
      <c r="B53" s="16"/>
      <c r="C53" s="16"/>
      <c r="D53" s="16"/>
      <c r="E53" s="16"/>
      <c r="F53" s="63"/>
      <c r="G53" s="21"/>
      <c r="H53" s="22"/>
      <c r="I53" s="24"/>
      <c r="J53" s="22"/>
      <c r="K53" s="24"/>
      <c r="L53" s="289"/>
      <c r="M53" s="289"/>
      <c r="N53" s="289"/>
      <c r="O53" s="289"/>
      <c r="P53" s="289"/>
      <c r="Q53" s="289"/>
      <c r="R53" s="289"/>
      <c r="S53" s="289"/>
      <c r="T53" s="22"/>
      <c r="U53" s="17"/>
      <c r="V53" s="14"/>
      <c r="W53" s="61"/>
      <c r="AA53" s="160" t="s">
        <v>78</v>
      </c>
      <c r="AB53" s="162">
        <f>SUM(AB51:AB52)-0.01</f>
        <v>5355799.9959779996</v>
      </c>
    </row>
    <row r="54" spans="1:32" ht="42.75" hidden="1" customHeight="1" x14ac:dyDescent="0.2">
      <c r="A54" s="290"/>
      <c r="B54" s="290"/>
      <c r="C54" s="290"/>
      <c r="D54" s="174"/>
      <c r="E54" s="174"/>
      <c r="F54" s="64"/>
      <c r="G54" s="25"/>
      <c r="H54" s="25"/>
      <c r="I54" s="25"/>
      <c r="L54" s="289"/>
      <c r="M54" s="289"/>
      <c r="N54" s="289"/>
      <c r="O54" s="289"/>
      <c r="P54" s="289"/>
      <c r="Q54" s="289"/>
      <c r="R54" s="289"/>
      <c r="S54" s="289"/>
    </row>
    <row r="55" spans="1:32" ht="20.25" customHeight="1" x14ac:dyDescent="0.2">
      <c r="A55" s="285" t="s">
        <v>4</v>
      </c>
      <c r="B55" s="285"/>
      <c r="C55" s="172"/>
      <c r="D55" s="172"/>
      <c r="E55" s="172"/>
      <c r="H55" s="172"/>
      <c r="I55" s="172"/>
      <c r="J55" s="26"/>
      <c r="K55" s="172"/>
      <c r="L55" s="34" t="s">
        <v>104</v>
      </c>
      <c r="M55" s="176"/>
      <c r="N55" s="176"/>
      <c r="O55" s="176"/>
      <c r="P55" s="176"/>
      <c r="Q55" s="176"/>
      <c r="R55" s="176"/>
      <c r="S55" s="100"/>
      <c r="T55" s="3"/>
      <c r="AB55" s="114"/>
    </row>
    <row r="56" spans="1:32" x14ac:dyDescent="0.2">
      <c r="B56" s="26"/>
      <c r="C56" s="172"/>
      <c r="D56" s="172"/>
      <c r="E56" s="172"/>
      <c r="F56" s="65"/>
      <c r="G56" s="167"/>
      <c r="H56" s="172"/>
      <c r="I56" s="172"/>
      <c r="J56" s="172"/>
      <c r="K56" s="172"/>
      <c r="L56" s="176"/>
      <c r="M56" s="176"/>
      <c r="N56" s="176"/>
      <c r="O56" s="176"/>
      <c r="P56" s="176"/>
      <c r="Q56" s="176"/>
      <c r="R56" s="176"/>
      <c r="S56" s="100"/>
    </row>
    <row r="57" spans="1:32" x14ac:dyDescent="0.2">
      <c r="F57" s="65"/>
      <c r="G57" s="167"/>
      <c r="H57" s="25"/>
      <c r="I57" s="25"/>
    </row>
    <row r="58" spans="1:32" x14ac:dyDescent="0.2">
      <c r="F58" s="64"/>
      <c r="G58" s="168"/>
      <c r="H58" s="25"/>
      <c r="I58" s="25"/>
    </row>
    <row r="59" spans="1:32" x14ac:dyDescent="0.2">
      <c r="F59" s="64"/>
      <c r="G59" s="169"/>
      <c r="H59" s="25"/>
      <c r="I59" s="25"/>
    </row>
    <row r="60" spans="1:32" x14ac:dyDescent="0.2">
      <c r="F60" s="64"/>
      <c r="G60" s="168"/>
      <c r="H60" s="25"/>
      <c r="I60" s="25"/>
    </row>
    <row r="61" spans="1:32" x14ac:dyDescent="0.2">
      <c r="F61" s="64"/>
      <c r="G61" s="25"/>
      <c r="H61" s="25"/>
      <c r="I61" s="25"/>
    </row>
    <row r="62" spans="1:32" x14ac:dyDescent="0.2">
      <c r="F62" s="64"/>
      <c r="G62" s="25"/>
      <c r="H62" s="25"/>
      <c r="I62" s="25"/>
    </row>
    <row r="63" spans="1:32" x14ac:dyDescent="0.2">
      <c r="F63" s="64"/>
      <c r="G63" s="25"/>
      <c r="H63" s="25"/>
      <c r="I63" s="25"/>
    </row>
    <row r="64" spans="1:32" x14ac:dyDescent="0.2">
      <c r="F64" s="64"/>
      <c r="G64" s="25"/>
      <c r="H64" s="25"/>
      <c r="I64" s="25"/>
    </row>
    <row r="65" spans="1:9" x14ac:dyDescent="0.2">
      <c r="F65" s="64"/>
      <c r="G65" s="25"/>
      <c r="H65" s="25"/>
      <c r="I65" s="25"/>
    </row>
    <row r="66" spans="1:9" x14ac:dyDescent="0.2">
      <c r="F66" s="64"/>
      <c r="G66" s="25"/>
      <c r="H66" s="25"/>
      <c r="I66" s="25"/>
    </row>
    <row r="67" spans="1:9" x14ac:dyDescent="0.2">
      <c r="F67" s="64"/>
      <c r="G67" s="25"/>
      <c r="H67" s="25"/>
      <c r="I67" s="25"/>
    </row>
    <row r="68" spans="1:9" x14ac:dyDescent="0.2">
      <c r="F68" s="64"/>
      <c r="G68" s="25"/>
      <c r="H68" s="25"/>
      <c r="I68" s="25"/>
    </row>
    <row r="69" spans="1:9" x14ac:dyDescent="0.2">
      <c r="F69" s="64"/>
      <c r="G69" s="25"/>
      <c r="H69" s="25"/>
      <c r="I69" s="25"/>
    </row>
    <row r="70" spans="1:9" x14ac:dyDescent="0.2">
      <c r="A70" s="27"/>
      <c r="B70" s="28"/>
      <c r="C70" s="177"/>
      <c r="D70" s="177"/>
      <c r="E70" s="177"/>
      <c r="F70" s="66"/>
      <c r="G70" s="25"/>
      <c r="H70" s="25"/>
      <c r="I70" s="25"/>
    </row>
    <row r="71" spans="1:9" x14ac:dyDescent="0.2">
      <c r="A71" s="27"/>
      <c r="B71" s="7"/>
      <c r="C71" s="177"/>
      <c r="D71" s="177"/>
      <c r="E71" s="177"/>
      <c r="F71" s="66"/>
      <c r="G71" s="25"/>
      <c r="H71" s="25"/>
      <c r="I71" s="25"/>
    </row>
    <row r="72" spans="1:9" x14ac:dyDescent="0.2">
      <c r="A72" s="27"/>
      <c r="B72" s="7"/>
      <c r="C72" s="177"/>
      <c r="D72" s="177"/>
      <c r="E72" s="177"/>
      <c r="F72" s="66"/>
      <c r="G72" s="25"/>
      <c r="H72" s="25"/>
      <c r="I72" s="25"/>
    </row>
    <row r="73" spans="1:9" x14ac:dyDescent="0.2">
      <c r="A73" s="27"/>
      <c r="B73" s="7"/>
      <c r="C73" s="177"/>
      <c r="D73" s="177"/>
      <c r="E73" s="177"/>
      <c r="F73" s="66"/>
      <c r="G73" s="25"/>
      <c r="H73" s="25"/>
      <c r="I73" s="25"/>
    </row>
    <row r="74" spans="1:9" x14ac:dyDescent="0.2">
      <c r="A74" s="27"/>
      <c r="B74" s="7"/>
      <c r="C74" s="177"/>
      <c r="D74" s="177"/>
      <c r="E74" s="177"/>
      <c r="F74" s="66"/>
      <c r="G74" s="25"/>
      <c r="H74" s="25"/>
      <c r="I74" s="25"/>
    </row>
    <row r="75" spans="1:9" x14ac:dyDescent="0.2">
      <c r="A75" s="27"/>
      <c r="B75" s="7"/>
      <c r="C75" s="177"/>
      <c r="D75" s="177"/>
      <c r="E75" s="177"/>
      <c r="F75" s="66"/>
      <c r="G75" s="25"/>
      <c r="H75" s="25"/>
      <c r="I75" s="25"/>
    </row>
    <row r="76" spans="1:9" x14ac:dyDescent="0.2">
      <c r="A76" s="27"/>
      <c r="B76" s="7"/>
      <c r="C76" s="177"/>
      <c r="D76" s="177"/>
      <c r="E76" s="177"/>
      <c r="F76" s="66"/>
      <c r="G76" s="25"/>
      <c r="H76" s="25"/>
      <c r="I76" s="25"/>
    </row>
    <row r="77" spans="1:9" x14ac:dyDescent="0.2">
      <c r="A77" s="27"/>
      <c r="B77" s="7"/>
      <c r="C77" s="177"/>
      <c r="D77" s="177"/>
      <c r="E77" s="177"/>
      <c r="F77" s="66"/>
      <c r="G77" s="25"/>
      <c r="H77" s="25"/>
      <c r="I77" s="25"/>
    </row>
    <row r="78" spans="1:9" x14ac:dyDescent="0.2">
      <c r="A78" s="27"/>
      <c r="B78" s="7"/>
      <c r="C78" s="177"/>
      <c r="D78" s="177"/>
      <c r="E78" s="177"/>
      <c r="F78" s="66"/>
      <c r="G78" s="25"/>
      <c r="H78" s="25"/>
      <c r="I78" s="25"/>
    </row>
    <row r="79" spans="1:9" x14ac:dyDescent="0.2">
      <c r="A79" s="27"/>
      <c r="B79" s="7"/>
      <c r="C79" s="177"/>
      <c r="D79" s="177"/>
      <c r="E79" s="177"/>
      <c r="F79" s="66"/>
      <c r="G79" s="25"/>
      <c r="H79" s="25"/>
      <c r="I79" s="25"/>
    </row>
    <row r="80" spans="1:9" x14ac:dyDescent="0.2">
      <c r="A80" s="27"/>
      <c r="B80" s="7"/>
      <c r="C80" s="177"/>
      <c r="D80" s="177"/>
      <c r="E80" s="177"/>
      <c r="F80" s="66"/>
      <c r="G80" s="25"/>
      <c r="H80" s="25"/>
      <c r="I80" s="25"/>
    </row>
    <row r="81" spans="1:9" x14ac:dyDescent="0.2">
      <c r="A81" s="27"/>
      <c r="B81" s="7"/>
      <c r="C81" s="177"/>
      <c r="D81" s="177"/>
      <c r="E81" s="177"/>
      <c r="F81" s="66"/>
      <c r="G81" s="25"/>
      <c r="H81" s="25"/>
      <c r="I81" s="25"/>
    </row>
    <row r="82" spans="1:9" x14ac:dyDescent="0.2">
      <c r="A82" s="27"/>
      <c r="B82" s="7"/>
      <c r="C82" s="177"/>
      <c r="D82" s="177"/>
      <c r="E82" s="177"/>
      <c r="F82" s="66"/>
      <c r="G82" s="25"/>
      <c r="H82" s="25"/>
      <c r="I82" s="25"/>
    </row>
    <row r="83" spans="1:9" x14ac:dyDescent="0.2">
      <c r="A83" s="27"/>
      <c r="B83" s="7"/>
      <c r="C83" s="177"/>
      <c r="D83" s="177"/>
      <c r="E83" s="177"/>
      <c r="F83" s="66"/>
      <c r="G83" s="25"/>
      <c r="H83" s="25"/>
      <c r="I83" s="25"/>
    </row>
    <row r="84" spans="1:9" x14ac:dyDescent="0.2">
      <c r="A84" s="27"/>
      <c r="B84" s="8"/>
      <c r="C84" s="177"/>
      <c r="D84" s="177"/>
      <c r="E84" s="177"/>
      <c r="F84" s="66"/>
      <c r="G84" s="25"/>
      <c r="H84" s="25"/>
      <c r="I84" s="25"/>
    </row>
    <row r="85" spans="1:9" x14ac:dyDescent="0.2">
      <c r="A85" s="27"/>
      <c r="B85" s="7"/>
      <c r="C85" s="177"/>
      <c r="D85" s="177"/>
      <c r="E85" s="177"/>
      <c r="F85" s="66"/>
      <c r="G85" s="25"/>
      <c r="H85" s="25"/>
      <c r="I85" s="25"/>
    </row>
    <row r="86" spans="1:9" x14ac:dyDescent="0.2">
      <c r="A86" s="27"/>
      <c r="B86" s="7"/>
      <c r="C86" s="177"/>
      <c r="D86" s="177"/>
      <c r="E86" s="177"/>
      <c r="F86" s="66"/>
      <c r="G86" s="25"/>
      <c r="H86" s="25"/>
      <c r="I86" s="25"/>
    </row>
    <row r="87" spans="1:9" x14ac:dyDescent="0.2">
      <c r="A87" s="27"/>
      <c r="B87" s="7"/>
      <c r="C87" s="177"/>
      <c r="D87" s="177"/>
      <c r="E87" s="177"/>
      <c r="F87" s="66"/>
      <c r="G87" s="25"/>
      <c r="H87" s="25"/>
      <c r="I87" s="25"/>
    </row>
    <row r="88" spans="1:9" x14ac:dyDescent="0.2">
      <c r="A88" s="27"/>
      <c r="B88" s="7"/>
      <c r="C88" s="177"/>
      <c r="D88" s="177"/>
      <c r="E88" s="177"/>
      <c r="F88" s="66"/>
      <c r="G88" s="25"/>
      <c r="H88" s="25"/>
      <c r="I88" s="25"/>
    </row>
    <row r="89" spans="1:9" x14ac:dyDescent="0.2">
      <c r="A89" s="27"/>
      <c r="B89" s="7"/>
      <c r="C89" s="177"/>
      <c r="D89" s="177"/>
      <c r="E89" s="177"/>
      <c r="F89" s="66"/>
      <c r="G89" s="25"/>
      <c r="H89" s="25"/>
      <c r="I89" s="25"/>
    </row>
    <row r="90" spans="1:9" x14ac:dyDescent="0.2">
      <c r="A90" s="27"/>
      <c r="B90" s="7"/>
      <c r="C90" s="177"/>
      <c r="D90" s="177"/>
      <c r="E90" s="177"/>
      <c r="F90" s="66"/>
      <c r="G90" s="25"/>
      <c r="H90" s="25"/>
      <c r="I90" s="25"/>
    </row>
    <row r="91" spans="1:9" x14ac:dyDescent="0.2">
      <c r="A91" s="27"/>
      <c r="B91" s="7"/>
      <c r="C91" s="177"/>
      <c r="D91" s="177"/>
      <c r="E91" s="177"/>
      <c r="F91" s="66"/>
      <c r="G91" s="25"/>
      <c r="H91" s="25"/>
      <c r="I91" s="25"/>
    </row>
    <row r="92" spans="1:9" x14ac:dyDescent="0.2">
      <c r="A92" s="27"/>
      <c r="B92" s="7"/>
      <c r="C92" s="177"/>
      <c r="D92" s="177"/>
      <c r="E92" s="177"/>
      <c r="F92" s="66"/>
      <c r="G92" s="25"/>
      <c r="H92" s="25"/>
      <c r="I92" s="25"/>
    </row>
    <row r="93" spans="1:9" x14ac:dyDescent="0.2">
      <c r="A93" s="27"/>
      <c r="B93" s="7"/>
      <c r="C93" s="177"/>
      <c r="D93" s="177"/>
      <c r="E93" s="177"/>
      <c r="F93" s="66"/>
      <c r="G93" s="25"/>
      <c r="H93" s="25"/>
      <c r="I93" s="25"/>
    </row>
    <row r="94" spans="1:9" x14ac:dyDescent="0.2">
      <c r="A94" s="27"/>
      <c r="B94" s="7"/>
      <c r="C94" s="177"/>
      <c r="D94" s="177"/>
      <c r="E94" s="177"/>
      <c r="F94" s="66"/>
      <c r="G94" s="25"/>
      <c r="H94" s="25"/>
      <c r="I94" s="25"/>
    </row>
    <row r="95" spans="1:9" x14ac:dyDescent="0.2">
      <c r="A95" s="27"/>
      <c r="B95" s="7"/>
      <c r="C95" s="177"/>
      <c r="D95" s="177"/>
      <c r="E95" s="177"/>
      <c r="F95" s="66"/>
      <c r="G95" s="25"/>
      <c r="H95" s="25"/>
      <c r="I95" s="25"/>
    </row>
    <row r="96" spans="1:9" x14ac:dyDescent="0.2">
      <c r="A96" s="27"/>
      <c r="B96" s="7"/>
      <c r="C96" s="177"/>
      <c r="D96" s="177"/>
      <c r="E96" s="177"/>
      <c r="F96" s="66"/>
      <c r="G96" s="25"/>
      <c r="H96" s="25"/>
      <c r="I96" s="25"/>
    </row>
    <row r="97" spans="1:9" x14ac:dyDescent="0.2">
      <c r="A97" s="27"/>
      <c r="B97" s="9"/>
      <c r="C97" s="177"/>
      <c r="D97" s="177"/>
      <c r="E97" s="177"/>
      <c r="F97" s="66"/>
      <c r="G97" s="25"/>
      <c r="H97" s="25"/>
      <c r="I97" s="25"/>
    </row>
    <row r="98" spans="1:9" x14ac:dyDescent="0.2">
      <c r="A98" s="27"/>
      <c r="B98" s="9"/>
      <c r="C98" s="177"/>
      <c r="D98" s="177"/>
      <c r="E98" s="177"/>
      <c r="F98" s="66"/>
      <c r="G98" s="25"/>
      <c r="H98" s="25"/>
      <c r="I98" s="25"/>
    </row>
    <row r="99" spans="1:9" x14ac:dyDescent="0.2">
      <c r="A99" s="27"/>
      <c r="B99" s="10"/>
      <c r="C99" s="177"/>
      <c r="D99" s="177"/>
      <c r="E99" s="177"/>
      <c r="F99" s="66"/>
      <c r="G99" s="25"/>
      <c r="H99" s="25"/>
      <c r="I99" s="25"/>
    </row>
    <row r="100" spans="1:9" x14ac:dyDescent="0.2">
      <c r="A100" s="27"/>
      <c r="B100" s="7"/>
      <c r="C100" s="177"/>
      <c r="D100" s="177"/>
      <c r="E100" s="177"/>
      <c r="F100" s="66"/>
      <c r="G100" s="25"/>
      <c r="H100" s="25"/>
      <c r="I100" s="25"/>
    </row>
    <row r="101" spans="1:9" x14ac:dyDescent="0.2">
      <c r="A101" s="27"/>
      <c r="B101" s="7"/>
      <c r="C101" s="177"/>
      <c r="D101" s="177"/>
      <c r="E101" s="177"/>
      <c r="F101" s="66"/>
      <c r="G101" s="25"/>
      <c r="H101" s="25"/>
      <c r="I101" s="25"/>
    </row>
    <row r="102" spans="1:9" x14ac:dyDescent="0.2">
      <c r="A102" s="27"/>
      <c r="B102" s="7"/>
      <c r="C102" s="177"/>
      <c r="D102" s="177"/>
      <c r="E102" s="177"/>
      <c r="F102" s="66"/>
      <c r="G102" s="25"/>
      <c r="H102" s="25"/>
      <c r="I102" s="25"/>
    </row>
    <row r="103" spans="1:9" x14ac:dyDescent="0.2">
      <c r="A103" s="27"/>
      <c r="B103" s="7"/>
      <c r="C103" s="177"/>
      <c r="D103" s="177"/>
      <c r="E103" s="177"/>
      <c r="F103" s="67"/>
    </row>
    <row r="104" spans="1:9" x14ac:dyDescent="0.2">
      <c r="A104" s="27"/>
      <c r="B104" s="7"/>
      <c r="C104" s="177"/>
      <c r="D104" s="177"/>
      <c r="E104" s="177"/>
      <c r="F104" s="67"/>
    </row>
    <row r="105" spans="1:9" x14ac:dyDescent="0.2">
      <c r="A105" s="27"/>
      <c r="B105" s="7"/>
      <c r="C105" s="177"/>
      <c r="D105" s="177"/>
      <c r="E105" s="177"/>
      <c r="F105" s="67"/>
    </row>
    <row r="106" spans="1:9" x14ac:dyDescent="0.2">
      <c r="A106" s="27"/>
      <c r="B106" s="7"/>
      <c r="C106" s="177"/>
      <c r="D106" s="177"/>
      <c r="E106" s="177"/>
      <c r="F106" s="67"/>
    </row>
    <row r="107" spans="1:9" x14ac:dyDescent="0.2">
      <c r="A107" s="27"/>
      <c r="B107" s="11"/>
      <c r="C107" s="177"/>
      <c r="D107" s="177"/>
      <c r="E107" s="177"/>
      <c r="F107" s="67"/>
    </row>
    <row r="108" spans="1:9" x14ac:dyDescent="0.2">
      <c r="A108" s="27"/>
      <c r="B108" s="7"/>
      <c r="C108" s="177"/>
      <c r="D108" s="177"/>
      <c r="E108" s="177"/>
      <c r="F108" s="67"/>
    </row>
    <row r="109" spans="1:9" x14ac:dyDescent="0.2">
      <c r="A109" s="27"/>
      <c r="B109" s="10"/>
      <c r="C109" s="177"/>
      <c r="D109" s="177"/>
      <c r="E109" s="177"/>
      <c r="F109" s="67"/>
    </row>
    <row r="110" spans="1:9" x14ac:dyDescent="0.2">
      <c r="A110" s="27"/>
      <c r="B110" s="12"/>
      <c r="C110" s="177"/>
      <c r="D110" s="177"/>
      <c r="E110" s="177"/>
      <c r="F110" s="67"/>
    </row>
    <row r="111" spans="1:9" x14ac:dyDescent="0.2">
      <c r="A111" s="27"/>
      <c r="B111" s="12"/>
      <c r="C111" s="177"/>
      <c r="D111" s="177"/>
      <c r="E111" s="177"/>
      <c r="F111" s="67"/>
    </row>
    <row r="112" spans="1:9" x14ac:dyDescent="0.2">
      <c r="A112" s="27"/>
      <c r="B112" s="10"/>
      <c r="C112" s="177"/>
      <c r="D112" s="177"/>
      <c r="E112" s="177"/>
      <c r="F112" s="67"/>
    </row>
    <row r="113" spans="1:6" x14ac:dyDescent="0.2">
      <c r="A113" s="27"/>
      <c r="B113" s="7"/>
      <c r="C113" s="177"/>
      <c r="D113" s="177"/>
      <c r="E113" s="177"/>
      <c r="F113" s="67"/>
    </row>
    <row r="114" spans="1:6" x14ac:dyDescent="0.2">
      <c r="A114" s="27"/>
      <c r="B114" s="7"/>
      <c r="C114" s="177"/>
      <c r="D114" s="177"/>
      <c r="E114" s="177"/>
      <c r="F114" s="67"/>
    </row>
    <row r="115" spans="1:6" x14ac:dyDescent="0.2">
      <c r="A115" s="27"/>
      <c r="B115" s="13"/>
      <c r="C115" s="177"/>
      <c r="D115" s="177"/>
      <c r="E115" s="177"/>
      <c r="F115" s="67"/>
    </row>
    <row r="116" spans="1:6" x14ac:dyDescent="0.2">
      <c r="A116" s="27"/>
      <c r="B116" s="28"/>
      <c r="C116" s="177"/>
      <c r="D116" s="177"/>
      <c r="E116" s="177"/>
      <c r="F116" s="67"/>
    </row>
    <row r="117" spans="1:6" x14ac:dyDescent="0.2">
      <c r="A117" s="27"/>
      <c r="B117" s="28"/>
      <c r="C117" s="177"/>
      <c r="D117" s="177"/>
      <c r="E117" s="177"/>
      <c r="F117" s="67"/>
    </row>
    <row r="118" spans="1:6" x14ac:dyDescent="0.2">
      <c r="A118" s="27"/>
      <c r="B118" s="28"/>
      <c r="C118" s="177"/>
      <c r="D118" s="177"/>
      <c r="E118" s="177"/>
      <c r="F118" s="67"/>
    </row>
    <row r="119" spans="1:6" x14ac:dyDescent="0.2">
      <c r="A119" s="27"/>
      <c r="B119" s="28"/>
      <c r="C119" s="177"/>
      <c r="D119" s="177"/>
      <c r="E119" s="177"/>
      <c r="F119" s="67"/>
    </row>
    <row r="120" spans="1:6" x14ac:dyDescent="0.2">
      <c r="A120" s="27"/>
      <c r="B120" s="28"/>
      <c r="C120" s="177"/>
      <c r="D120" s="177"/>
      <c r="E120" s="177"/>
      <c r="F120" s="67"/>
    </row>
  </sheetData>
  <mergeCells count="29">
    <mergeCell ref="X3:AB3"/>
    <mergeCell ref="A7:X7"/>
    <mergeCell ref="A8:A9"/>
    <mergeCell ref="B8:B9"/>
    <mergeCell ref="C8:C9"/>
    <mergeCell ref="D8:D9"/>
    <mergeCell ref="E8:E9"/>
    <mergeCell ref="F8:F9"/>
    <mergeCell ref="K8:L8"/>
    <mergeCell ref="M8:N8"/>
    <mergeCell ref="O8:P8"/>
    <mergeCell ref="AB8:AB9"/>
    <mergeCell ref="I8:J8"/>
    <mergeCell ref="V2:W2"/>
    <mergeCell ref="R3:U3"/>
    <mergeCell ref="A55:B55"/>
    <mergeCell ref="Z8:Z9"/>
    <mergeCell ref="AA8:AA9"/>
    <mergeCell ref="L53:S53"/>
    <mergeCell ref="A54:C54"/>
    <mergeCell ref="L54:S54"/>
    <mergeCell ref="Q8:R8"/>
    <mergeCell ref="S8:T8"/>
    <mergeCell ref="U8:V8"/>
    <mergeCell ref="W8:W9"/>
    <mergeCell ref="X8:X9"/>
    <mergeCell ref="Y8:Y9"/>
    <mergeCell ref="G8:G9"/>
    <mergeCell ref="H8:H9"/>
  </mergeCells>
  <printOptions horizontalCentered="1"/>
  <pageMargins left="3.937007874015748E-2" right="0.19685039370078741" top="0.15748031496062992" bottom="0.35433070866141736" header="0.31496062992125984" footer="0.31496062992125984"/>
  <pageSetup paperSize="9" scale="60" orientation="landscape" r:id="rId1"/>
  <headerFooter scaleWithDoc="0"/>
  <colBreaks count="1" manualBreakCount="1">
    <brk id="2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21"/>
  <sheetViews>
    <sheetView topLeftCell="F3" zoomScale="90" zoomScaleNormal="90" workbookViewId="0">
      <selection activeCell="X3" sqref="X3:AB3"/>
    </sheetView>
  </sheetViews>
  <sheetFormatPr defaultColWidth="9.140625" defaultRowHeight="12.75" x14ac:dyDescent="0.2"/>
  <cols>
    <col min="1" max="1" width="4" style="5" customWidth="1"/>
    <col min="2" max="2" width="33.85546875" style="4" customWidth="1"/>
    <col min="3" max="3" width="4.28515625" style="3" customWidth="1"/>
    <col min="4" max="4" width="7.7109375" style="3" customWidth="1"/>
    <col min="5" max="5" width="8" style="3" customWidth="1"/>
    <col min="6" max="6" width="9.28515625" style="33" customWidth="1"/>
    <col min="7" max="7" width="8.85546875" style="3" customWidth="1"/>
    <col min="8" max="8" width="9.85546875" style="3" customWidth="1"/>
    <col min="9" max="9" width="4.140625" style="3" customWidth="1"/>
    <col min="10" max="10" width="9.28515625" style="3" customWidth="1"/>
    <col min="11" max="11" width="4.42578125" style="3" customWidth="1"/>
    <col min="12" max="12" width="10.28515625" style="4" customWidth="1"/>
    <col min="13" max="13" width="4.85546875" style="4" customWidth="1"/>
    <col min="14" max="14" width="7.85546875" style="4" customWidth="1"/>
    <col min="15" max="15" width="4.140625" style="4" customWidth="1"/>
    <col min="16" max="16" width="8.5703125" style="4" customWidth="1"/>
    <col min="17" max="17" width="4.140625" style="4" customWidth="1"/>
    <col min="18" max="18" width="9.28515625" style="4" customWidth="1"/>
    <col min="19" max="19" width="4.5703125" style="4" customWidth="1"/>
    <col min="20" max="20" width="9.140625" style="4" customWidth="1"/>
    <col min="21" max="21" width="6.5703125" style="4" customWidth="1"/>
    <col min="22" max="22" width="9" style="4" customWidth="1"/>
    <col min="23" max="23" width="10.28515625" style="48" customWidth="1"/>
    <col min="24" max="24" width="11.42578125" style="60" customWidth="1"/>
    <col min="25" max="25" width="10.7109375" style="4" customWidth="1"/>
    <col min="26" max="26" width="10.28515625" style="4" customWidth="1"/>
    <col min="27" max="27" width="11.5703125" style="4" customWidth="1"/>
    <col min="28" max="28" width="12.42578125" style="4" customWidth="1"/>
    <col min="29" max="29" width="9.7109375" style="4" customWidth="1"/>
    <col min="30" max="30" width="10.42578125" style="4" bestFit="1" customWidth="1"/>
    <col min="31" max="16384" width="9.140625" style="4"/>
  </cols>
  <sheetData>
    <row r="1" spans="1:32" x14ac:dyDescent="0.2">
      <c r="V1" s="246"/>
      <c r="W1" s="246"/>
    </row>
    <row r="2" spans="1:32" x14ac:dyDescent="0.2">
      <c r="R2" s="247"/>
      <c r="S2" s="247"/>
      <c r="V2" s="281"/>
      <c r="W2" s="282"/>
      <c r="X2" s="250" t="s">
        <v>86</v>
      </c>
      <c r="Y2" s="250"/>
      <c r="Z2" s="250"/>
      <c r="AA2" s="1"/>
      <c r="AB2" s="1"/>
    </row>
    <row r="3" spans="1:32" x14ac:dyDescent="0.2">
      <c r="R3" s="283"/>
      <c r="S3" s="283"/>
      <c r="T3" s="284"/>
      <c r="U3" s="284"/>
      <c r="X3" s="302" t="s">
        <v>130</v>
      </c>
      <c r="Y3" s="302"/>
      <c r="Z3" s="302"/>
      <c r="AA3" s="303"/>
      <c r="AB3" s="303"/>
    </row>
    <row r="6" spans="1:32" x14ac:dyDescent="0.2">
      <c r="R6" s="247"/>
      <c r="S6" s="247"/>
    </row>
    <row r="7" spans="1:32" ht="49.5" customHeight="1" thickBot="1" x14ac:dyDescent="0.25">
      <c r="A7" s="304" t="s">
        <v>111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</row>
    <row r="8" spans="1:32" ht="57" customHeight="1" x14ac:dyDescent="0.2">
      <c r="A8" s="306" t="s">
        <v>9</v>
      </c>
      <c r="B8" s="308" t="s">
        <v>8</v>
      </c>
      <c r="C8" s="310" t="s">
        <v>3</v>
      </c>
      <c r="D8" s="312" t="s">
        <v>7</v>
      </c>
      <c r="E8" s="314" t="s">
        <v>67</v>
      </c>
      <c r="F8" s="312" t="s">
        <v>73</v>
      </c>
      <c r="G8" s="298" t="s">
        <v>32</v>
      </c>
      <c r="H8" s="300" t="s">
        <v>6</v>
      </c>
      <c r="I8" s="318" t="s">
        <v>30</v>
      </c>
      <c r="J8" s="319"/>
      <c r="K8" s="291" t="s">
        <v>62</v>
      </c>
      <c r="L8" s="292"/>
      <c r="M8" s="291" t="s">
        <v>37</v>
      </c>
      <c r="N8" s="292"/>
      <c r="O8" s="291" t="s">
        <v>15</v>
      </c>
      <c r="P8" s="292"/>
      <c r="Q8" s="291" t="s">
        <v>14</v>
      </c>
      <c r="R8" s="292"/>
      <c r="S8" s="291" t="s">
        <v>29</v>
      </c>
      <c r="T8" s="293"/>
      <c r="U8" s="291" t="s">
        <v>68</v>
      </c>
      <c r="V8" s="293"/>
      <c r="W8" s="294" t="s">
        <v>27</v>
      </c>
      <c r="X8" s="294" t="s">
        <v>112</v>
      </c>
      <c r="Y8" s="296" t="s">
        <v>33</v>
      </c>
      <c r="Z8" s="286" t="s">
        <v>82</v>
      </c>
      <c r="AA8" s="286" t="s">
        <v>34</v>
      </c>
      <c r="AB8" s="316" t="s">
        <v>113</v>
      </c>
    </row>
    <row r="9" spans="1:32" ht="28.5" customHeight="1" thickBot="1" x14ac:dyDescent="0.25">
      <c r="A9" s="307"/>
      <c r="B9" s="309"/>
      <c r="C9" s="311"/>
      <c r="D9" s="313"/>
      <c r="E9" s="315"/>
      <c r="F9" s="313"/>
      <c r="G9" s="299"/>
      <c r="H9" s="301"/>
      <c r="I9" s="253" t="s">
        <v>0</v>
      </c>
      <c r="J9" s="253" t="s">
        <v>1</v>
      </c>
      <c r="K9" s="253" t="s">
        <v>0</v>
      </c>
      <c r="L9" s="253" t="s">
        <v>2</v>
      </c>
      <c r="M9" s="253" t="s">
        <v>0</v>
      </c>
      <c r="N9" s="253" t="s">
        <v>2</v>
      </c>
      <c r="O9" s="253" t="s">
        <v>0</v>
      </c>
      <c r="P9" s="253" t="s">
        <v>2</v>
      </c>
      <c r="Q9" s="253" t="s">
        <v>0</v>
      </c>
      <c r="R9" s="253" t="s">
        <v>2</v>
      </c>
      <c r="S9" s="253" t="s">
        <v>0</v>
      </c>
      <c r="T9" s="18" t="s">
        <v>2</v>
      </c>
      <c r="U9" s="253" t="s">
        <v>0</v>
      </c>
      <c r="V9" s="18" t="s">
        <v>2</v>
      </c>
      <c r="W9" s="295"/>
      <c r="X9" s="295"/>
      <c r="Y9" s="297"/>
      <c r="Z9" s="287"/>
      <c r="AA9" s="288"/>
      <c r="AB9" s="317"/>
    </row>
    <row r="10" spans="1:32" ht="31.5" customHeight="1" x14ac:dyDescent="0.2">
      <c r="A10" s="214"/>
      <c r="B10" s="215" t="s">
        <v>10</v>
      </c>
      <c r="C10" s="216"/>
      <c r="D10" s="216"/>
      <c r="E10" s="216"/>
      <c r="F10" s="217"/>
      <c r="G10" s="218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20"/>
      <c r="W10" s="221"/>
      <c r="X10" s="115"/>
      <c r="Y10" s="222"/>
      <c r="Z10" s="223"/>
      <c r="AA10" s="224"/>
      <c r="AB10" s="225"/>
      <c r="AC10" s="156"/>
      <c r="AD10" s="121"/>
      <c r="AE10" s="121"/>
      <c r="AF10" s="121"/>
    </row>
    <row r="11" spans="1:32" ht="14.25" customHeight="1" x14ac:dyDescent="0.2">
      <c r="A11" s="20">
        <v>1</v>
      </c>
      <c r="B11" s="226" t="s">
        <v>16</v>
      </c>
      <c r="C11" s="227">
        <v>17</v>
      </c>
      <c r="D11" s="112">
        <v>8679</v>
      </c>
      <c r="E11" s="227">
        <f>D11*0.1</f>
        <v>867.90000000000009</v>
      </c>
      <c r="F11" s="68">
        <f>D11+E11</f>
        <v>9546.9</v>
      </c>
      <c r="G11" s="228">
        <v>1</v>
      </c>
      <c r="H11" s="122">
        <f>F11*G11</f>
        <v>9546.9</v>
      </c>
      <c r="I11" s="123">
        <v>0.3</v>
      </c>
      <c r="J11" s="122">
        <f>H11*I11</f>
        <v>2864.0699999999997</v>
      </c>
      <c r="K11" s="229">
        <v>0.5</v>
      </c>
      <c r="L11" s="124">
        <f>H11*K11</f>
        <v>4773.45</v>
      </c>
      <c r="M11" s="125"/>
      <c r="N11" s="124"/>
      <c r="O11" s="124"/>
      <c r="P11" s="124"/>
      <c r="Q11" s="124"/>
      <c r="R11" s="124"/>
      <c r="S11" s="125"/>
      <c r="T11" s="124"/>
      <c r="U11" s="125">
        <v>0.1</v>
      </c>
      <c r="V11" s="126">
        <f t="shared" ref="V11:V16" si="0">H11*U11</f>
        <v>954.69</v>
      </c>
      <c r="W11" s="127">
        <f>H11+J11+L11+P11+R11+T11+V11+N11</f>
        <v>18139.109999999997</v>
      </c>
      <c r="X11" s="115">
        <f>W11*4</f>
        <v>72556.439999999988</v>
      </c>
      <c r="Y11" s="183">
        <f>H11*0.75</f>
        <v>7160.1749999999993</v>
      </c>
      <c r="Z11" s="184"/>
      <c r="AA11" s="185">
        <v>24270.21</v>
      </c>
      <c r="AB11" s="186">
        <f>SUM(X11:AA11)</f>
        <v>103986.82499999998</v>
      </c>
      <c r="AC11" s="156"/>
      <c r="AD11" s="121"/>
      <c r="AE11" s="121"/>
      <c r="AF11" s="121"/>
    </row>
    <row r="12" spans="1:32" s="5" customFormat="1" ht="24" customHeight="1" x14ac:dyDescent="0.2">
      <c r="A12" s="20">
        <v>2</v>
      </c>
      <c r="B12" s="230" t="s">
        <v>40</v>
      </c>
      <c r="C12" s="231">
        <v>17</v>
      </c>
      <c r="D12" s="113">
        <v>8245</v>
      </c>
      <c r="E12" s="227">
        <f t="shared" ref="E12:E50" si="1">D12*0.1</f>
        <v>824.5</v>
      </c>
      <c r="F12" s="68">
        <f t="shared" ref="F12:F50" si="2">D12+E12</f>
        <v>9069.5</v>
      </c>
      <c r="G12" s="41">
        <v>1.5</v>
      </c>
      <c r="H12" s="122">
        <f t="shared" ref="H12:H50" si="3">F12*G12</f>
        <v>13604.25</v>
      </c>
      <c r="I12" s="131">
        <v>0.3</v>
      </c>
      <c r="J12" s="122">
        <f t="shared" ref="J12:J42" si="4">H12*I12</f>
        <v>4081.2749999999996</v>
      </c>
      <c r="K12" s="131"/>
      <c r="L12" s="122"/>
      <c r="M12" s="123"/>
      <c r="N12" s="122"/>
      <c r="O12" s="232"/>
      <c r="P12" s="232"/>
      <c r="Q12" s="232"/>
      <c r="R12" s="232"/>
      <c r="S12" s="131"/>
      <c r="T12" s="232"/>
      <c r="U12" s="125">
        <v>0.1</v>
      </c>
      <c r="V12" s="233">
        <f t="shared" si="0"/>
        <v>1360.4250000000002</v>
      </c>
      <c r="W12" s="234">
        <f t="shared" ref="W12:W50" si="5">H12+J12+L12+P12+R12+T12+V12+N12</f>
        <v>19045.95</v>
      </c>
      <c r="X12" s="115">
        <f t="shared" ref="X12:X44" si="6">W12*4</f>
        <v>76183.8</v>
      </c>
      <c r="Y12" s="183">
        <f t="shared" ref="Y12:Y44" si="7">H12*0.75</f>
        <v>10203.1875</v>
      </c>
      <c r="Z12" s="184"/>
      <c r="AA12" s="185"/>
      <c r="AB12" s="186">
        <f t="shared" ref="AB12:AB44" si="8">SUM(X12:AA12)</f>
        <v>86386.987500000003</v>
      </c>
      <c r="AC12" s="156"/>
      <c r="AD12" s="130"/>
      <c r="AE12" s="130"/>
      <c r="AF12" s="130"/>
    </row>
    <row r="13" spans="1:32" s="5" customFormat="1" ht="23.25" customHeight="1" x14ac:dyDescent="0.2">
      <c r="A13" s="19">
        <v>3</v>
      </c>
      <c r="B13" s="235" t="s">
        <v>39</v>
      </c>
      <c r="C13" s="236">
        <v>17</v>
      </c>
      <c r="D13" s="237">
        <v>8245</v>
      </c>
      <c r="E13" s="227">
        <f t="shared" si="1"/>
        <v>824.5</v>
      </c>
      <c r="F13" s="68">
        <f t="shared" si="2"/>
        <v>9069.5</v>
      </c>
      <c r="G13" s="238">
        <v>0.5</v>
      </c>
      <c r="H13" s="122">
        <f t="shared" si="3"/>
        <v>4534.75</v>
      </c>
      <c r="I13" s="128">
        <v>0.2</v>
      </c>
      <c r="J13" s="122">
        <f t="shared" si="4"/>
        <v>906.95</v>
      </c>
      <c r="K13" s="128"/>
      <c r="L13" s="124"/>
      <c r="M13" s="125"/>
      <c r="N13" s="124"/>
      <c r="O13" s="129"/>
      <c r="P13" s="129"/>
      <c r="Q13" s="129"/>
      <c r="R13" s="129"/>
      <c r="S13" s="128"/>
      <c r="T13" s="129"/>
      <c r="U13" s="125">
        <v>0.1</v>
      </c>
      <c r="V13" s="126">
        <f t="shared" si="0"/>
        <v>453.47500000000002</v>
      </c>
      <c r="W13" s="127">
        <f t="shared" si="5"/>
        <v>5895.1750000000002</v>
      </c>
      <c r="X13" s="115">
        <f t="shared" si="6"/>
        <v>23580.7</v>
      </c>
      <c r="Y13" s="183">
        <f t="shared" si="7"/>
        <v>3401.0625</v>
      </c>
      <c r="Z13" s="184"/>
      <c r="AA13" s="185"/>
      <c r="AB13" s="186">
        <f t="shared" si="8"/>
        <v>26981.762500000001</v>
      </c>
      <c r="AC13" s="156"/>
      <c r="AD13" s="130"/>
      <c r="AE13" s="130"/>
      <c r="AF13" s="130"/>
    </row>
    <row r="14" spans="1:32" x14ac:dyDescent="0.2">
      <c r="A14" s="19">
        <v>4</v>
      </c>
      <c r="B14" s="239" t="s">
        <v>11</v>
      </c>
      <c r="C14" s="231">
        <v>11</v>
      </c>
      <c r="D14" s="113">
        <v>5699</v>
      </c>
      <c r="E14" s="227">
        <f t="shared" si="1"/>
        <v>569.9</v>
      </c>
      <c r="F14" s="68">
        <f t="shared" si="2"/>
        <v>6268.9</v>
      </c>
      <c r="G14" s="41">
        <v>1</v>
      </c>
      <c r="H14" s="122">
        <f t="shared" si="3"/>
        <v>6268.9</v>
      </c>
      <c r="I14" s="131">
        <v>0.1</v>
      </c>
      <c r="J14" s="122">
        <f t="shared" si="4"/>
        <v>626.89</v>
      </c>
      <c r="K14" s="123"/>
      <c r="L14" s="124"/>
      <c r="M14" s="124"/>
      <c r="N14" s="124"/>
      <c r="O14" s="131"/>
      <c r="P14" s="129"/>
      <c r="Q14" s="131"/>
      <c r="R14" s="129"/>
      <c r="S14" s="128"/>
      <c r="T14" s="129"/>
      <c r="U14" s="125">
        <v>0.1</v>
      </c>
      <c r="V14" s="126">
        <f t="shared" si="0"/>
        <v>626.89</v>
      </c>
      <c r="W14" s="127">
        <f t="shared" si="5"/>
        <v>7522.68</v>
      </c>
      <c r="X14" s="115">
        <f t="shared" si="6"/>
        <v>30090.720000000001</v>
      </c>
      <c r="Y14" s="183">
        <f t="shared" si="7"/>
        <v>4701.6749999999993</v>
      </c>
      <c r="Z14" s="184"/>
      <c r="AA14" s="185"/>
      <c r="AB14" s="186">
        <f t="shared" si="8"/>
        <v>34792.395000000004</v>
      </c>
      <c r="AC14" s="156"/>
      <c r="AD14" s="121"/>
      <c r="AE14" s="121"/>
      <c r="AF14" s="121"/>
    </row>
    <row r="15" spans="1:32" x14ac:dyDescent="0.2">
      <c r="A15" s="20">
        <v>5</v>
      </c>
      <c r="B15" s="239" t="s">
        <v>12</v>
      </c>
      <c r="C15" s="231">
        <v>12</v>
      </c>
      <c r="D15" s="113">
        <v>6133</v>
      </c>
      <c r="E15" s="227">
        <f t="shared" si="1"/>
        <v>613.30000000000007</v>
      </c>
      <c r="F15" s="68">
        <f t="shared" si="2"/>
        <v>6746.3</v>
      </c>
      <c r="G15" s="41">
        <v>0.5</v>
      </c>
      <c r="H15" s="122">
        <f t="shared" si="3"/>
        <v>3373.15</v>
      </c>
      <c r="I15" s="131">
        <v>0.1</v>
      </c>
      <c r="J15" s="122">
        <f t="shared" si="4"/>
        <v>337.31500000000005</v>
      </c>
      <c r="K15" s="128"/>
      <c r="L15" s="124"/>
      <c r="M15" s="124"/>
      <c r="N15" s="124"/>
      <c r="O15" s="131"/>
      <c r="P15" s="129"/>
      <c r="Q15" s="131"/>
      <c r="R15" s="129"/>
      <c r="S15" s="128"/>
      <c r="T15" s="129"/>
      <c r="U15" s="125">
        <v>0.1</v>
      </c>
      <c r="V15" s="126">
        <f t="shared" si="0"/>
        <v>337.31500000000005</v>
      </c>
      <c r="W15" s="127">
        <f t="shared" si="5"/>
        <v>4047.78</v>
      </c>
      <c r="X15" s="115">
        <f t="shared" si="6"/>
        <v>16191.12</v>
      </c>
      <c r="Y15" s="183">
        <f t="shared" si="7"/>
        <v>2529.8625000000002</v>
      </c>
      <c r="Z15" s="184"/>
      <c r="AA15" s="185"/>
      <c r="AB15" s="186">
        <f t="shared" si="8"/>
        <v>18720.982500000002</v>
      </c>
      <c r="AC15" s="156"/>
      <c r="AD15" s="121"/>
      <c r="AE15" s="121"/>
      <c r="AF15" s="121"/>
    </row>
    <row r="16" spans="1:32" x14ac:dyDescent="0.2">
      <c r="A16" s="19">
        <v>6</v>
      </c>
      <c r="B16" s="239" t="s">
        <v>13</v>
      </c>
      <c r="C16" s="231">
        <v>12</v>
      </c>
      <c r="D16" s="113">
        <v>6133</v>
      </c>
      <c r="E16" s="227">
        <f t="shared" si="1"/>
        <v>613.30000000000007</v>
      </c>
      <c r="F16" s="68">
        <f t="shared" si="2"/>
        <v>6746.3</v>
      </c>
      <c r="G16" s="41">
        <v>0.5</v>
      </c>
      <c r="H16" s="122">
        <f t="shared" si="3"/>
        <v>3373.15</v>
      </c>
      <c r="I16" s="131">
        <v>0.1</v>
      </c>
      <c r="J16" s="122">
        <f t="shared" si="4"/>
        <v>337.31500000000005</v>
      </c>
      <c r="K16" s="123"/>
      <c r="L16" s="124"/>
      <c r="M16" s="124"/>
      <c r="N16" s="124"/>
      <c r="O16" s="131"/>
      <c r="P16" s="129"/>
      <c r="Q16" s="131"/>
      <c r="R16" s="129"/>
      <c r="S16" s="128"/>
      <c r="T16" s="129"/>
      <c r="U16" s="125">
        <v>0.1</v>
      </c>
      <c r="V16" s="126">
        <f t="shared" si="0"/>
        <v>337.31500000000005</v>
      </c>
      <c r="W16" s="127">
        <f t="shared" si="5"/>
        <v>4047.78</v>
      </c>
      <c r="X16" s="115">
        <f t="shared" si="6"/>
        <v>16191.12</v>
      </c>
      <c r="Y16" s="183">
        <f t="shared" si="7"/>
        <v>2529.8625000000002</v>
      </c>
      <c r="Z16" s="184"/>
      <c r="AA16" s="185"/>
      <c r="AB16" s="186">
        <f t="shared" si="8"/>
        <v>18720.982500000002</v>
      </c>
      <c r="AC16" s="156"/>
      <c r="AD16" s="121"/>
      <c r="AE16" s="121"/>
      <c r="AF16" s="121"/>
    </row>
    <row r="17" spans="1:32" ht="12.75" customHeight="1" x14ac:dyDescent="0.2">
      <c r="A17" s="19"/>
      <c r="B17" s="240" t="s">
        <v>69</v>
      </c>
      <c r="C17" s="231"/>
      <c r="D17" s="113"/>
      <c r="E17" s="227"/>
      <c r="F17" s="68"/>
      <c r="G17" s="268"/>
      <c r="H17" s="122"/>
      <c r="I17" s="131"/>
      <c r="J17" s="122"/>
      <c r="K17" s="123"/>
      <c r="L17" s="124"/>
      <c r="M17" s="124"/>
      <c r="N17" s="124"/>
      <c r="O17" s="131"/>
      <c r="P17" s="129"/>
      <c r="Q17" s="131"/>
      <c r="R17" s="129"/>
      <c r="S17" s="128"/>
      <c r="T17" s="129"/>
      <c r="U17" s="125">
        <v>0.1</v>
      </c>
      <c r="V17" s="126"/>
      <c r="W17" s="127"/>
      <c r="X17" s="115">
        <f t="shared" si="6"/>
        <v>0</v>
      </c>
      <c r="Y17" s="183">
        <f t="shared" si="7"/>
        <v>0</v>
      </c>
      <c r="Z17" s="184"/>
      <c r="AA17" s="185"/>
      <c r="AB17" s="186"/>
      <c r="AC17" s="156"/>
      <c r="AD17" s="121"/>
      <c r="AE17" s="121"/>
      <c r="AF17" s="121"/>
    </row>
    <row r="18" spans="1:32" x14ac:dyDescent="0.2">
      <c r="A18" s="20">
        <v>7</v>
      </c>
      <c r="B18" s="260" t="s">
        <v>42</v>
      </c>
      <c r="C18" s="231">
        <v>14</v>
      </c>
      <c r="D18" s="113">
        <v>7001</v>
      </c>
      <c r="E18" s="227">
        <f t="shared" si="1"/>
        <v>700.1</v>
      </c>
      <c r="F18" s="68">
        <f t="shared" si="2"/>
        <v>7701.1</v>
      </c>
      <c r="G18" s="262">
        <v>3.77</v>
      </c>
      <c r="H18" s="122">
        <f t="shared" si="3"/>
        <v>29033.147000000001</v>
      </c>
      <c r="I18" s="131">
        <v>0.3</v>
      </c>
      <c r="J18" s="122">
        <f t="shared" si="4"/>
        <v>8709.9441000000006</v>
      </c>
      <c r="K18" s="128"/>
      <c r="L18" s="124"/>
      <c r="M18" s="123">
        <v>0.1</v>
      </c>
      <c r="N18" s="124">
        <f>H18*M18/G18*1.91</f>
        <v>1470.9101000000003</v>
      </c>
      <c r="O18" s="131">
        <v>0.2</v>
      </c>
      <c r="P18" s="129">
        <f>H18*O18</f>
        <v>5806.6294000000007</v>
      </c>
      <c r="Q18" s="131">
        <v>0.15</v>
      </c>
      <c r="R18" s="129">
        <f t="shared" ref="R18:R33" si="9">H18*Q18</f>
        <v>4354.9720500000003</v>
      </c>
      <c r="S18" s="128"/>
      <c r="T18" s="129"/>
      <c r="U18" s="125">
        <v>0.1</v>
      </c>
      <c r="V18" s="126">
        <f t="shared" ref="V18:V42" si="10">H18*U18</f>
        <v>2903.3147000000004</v>
      </c>
      <c r="W18" s="127">
        <f t="shared" si="5"/>
        <v>52278.917350000011</v>
      </c>
      <c r="X18" s="115">
        <f t="shared" si="6"/>
        <v>209115.66940000004</v>
      </c>
      <c r="Y18" s="183">
        <f t="shared" si="7"/>
        <v>21774.860250000002</v>
      </c>
      <c r="Z18" s="184"/>
      <c r="AA18" s="185"/>
      <c r="AB18" s="186">
        <f t="shared" si="8"/>
        <v>230890.52965000004</v>
      </c>
      <c r="AC18" s="156"/>
      <c r="AD18" s="121"/>
      <c r="AE18" s="121"/>
      <c r="AF18" s="121"/>
    </row>
    <row r="19" spans="1:32" x14ac:dyDescent="0.2">
      <c r="A19" s="20">
        <f>A18+1</f>
        <v>8</v>
      </c>
      <c r="B19" s="260" t="s">
        <v>42</v>
      </c>
      <c r="C19" s="231">
        <v>13</v>
      </c>
      <c r="D19" s="113">
        <v>6567</v>
      </c>
      <c r="E19" s="227">
        <f t="shared" si="1"/>
        <v>656.7</v>
      </c>
      <c r="F19" s="68">
        <f t="shared" si="2"/>
        <v>7223.7</v>
      </c>
      <c r="G19" s="262">
        <v>4.8499999999999996</v>
      </c>
      <c r="H19" s="122">
        <f t="shared" si="3"/>
        <v>35034.945</v>
      </c>
      <c r="I19" s="131">
        <v>0.2</v>
      </c>
      <c r="J19" s="122">
        <f t="shared" si="4"/>
        <v>7006.9890000000005</v>
      </c>
      <c r="K19" s="128"/>
      <c r="L19" s="124"/>
      <c r="M19" s="124"/>
      <c r="N19" s="124"/>
      <c r="O19" s="131">
        <v>0.2</v>
      </c>
      <c r="P19" s="129">
        <f t="shared" ref="P19:P33" si="11">H19*O19</f>
        <v>7006.9890000000005</v>
      </c>
      <c r="Q19" s="131">
        <v>0.15</v>
      </c>
      <c r="R19" s="129">
        <f t="shared" si="9"/>
        <v>5255.2417500000001</v>
      </c>
      <c r="S19" s="128"/>
      <c r="T19" s="129"/>
      <c r="U19" s="125">
        <v>0.1</v>
      </c>
      <c r="V19" s="126">
        <f t="shared" si="10"/>
        <v>3503.4945000000002</v>
      </c>
      <c r="W19" s="127">
        <f t="shared" si="5"/>
        <v>57807.659250000004</v>
      </c>
      <c r="X19" s="115">
        <f t="shared" si="6"/>
        <v>231230.63700000002</v>
      </c>
      <c r="Y19" s="183">
        <f t="shared" si="7"/>
        <v>26276.208749999998</v>
      </c>
      <c r="Z19" s="184"/>
      <c r="AA19" s="185"/>
      <c r="AB19" s="186">
        <f t="shared" si="8"/>
        <v>257506.84575000001</v>
      </c>
      <c r="AC19" s="156"/>
      <c r="AD19" s="121"/>
      <c r="AE19" s="121"/>
      <c r="AF19" s="121"/>
    </row>
    <row r="20" spans="1:32" x14ac:dyDescent="0.2">
      <c r="A20" s="20">
        <f>A19+1</f>
        <v>9</v>
      </c>
      <c r="B20" s="260" t="s">
        <v>42</v>
      </c>
      <c r="C20" s="231">
        <v>12</v>
      </c>
      <c r="D20" s="113">
        <v>6133</v>
      </c>
      <c r="E20" s="227">
        <f t="shared" si="1"/>
        <v>613.30000000000007</v>
      </c>
      <c r="F20" s="68">
        <f t="shared" si="2"/>
        <v>6746.3</v>
      </c>
      <c r="G20" s="262">
        <v>2.61</v>
      </c>
      <c r="H20" s="122">
        <f t="shared" si="3"/>
        <v>17607.843000000001</v>
      </c>
      <c r="I20" s="131">
        <v>0.2</v>
      </c>
      <c r="J20" s="122">
        <f t="shared" si="4"/>
        <v>3521.5686000000005</v>
      </c>
      <c r="K20" s="128"/>
      <c r="L20" s="124"/>
      <c r="M20" s="124"/>
      <c r="N20" s="124"/>
      <c r="O20" s="131">
        <v>0.2</v>
      </c>
      <c r="P20" s="129">
        <f t="shared" si="11"/>
        <v>3521.5686000000005</v>
      </c>
      <c r="Q20" s="131">
        <v>0.15</v>
      </c>
      <c r="R20" s="129">
        <f t="shared" si="9"/>
        <v>2641.1764499999999</v>
      </c>
      <c r="S20" s="128"/>
      <c r="T20" s="129"/>
      <c r="U20" s="125">
        <v>0.1</v>
      </c>
      <c r="V20" s="126">
        <f t="shared" si="10"/>
        <v>1760.7843000000003</v>
      </c>
      <c r="W20" s="127">
        <f t="shared" si="5"/>
        <v>29052.940949999997</v>
      </c>
      <c r="X20" s="115">
        <f t="shared" si="6"/>
        <v>116211.76379999999</v>
      </c>
      <c r="Y20" s="183">
        <f t="shared" si="7"/>
        <v>13205.882250000001</v>
      </c>
      <c r="Z20" s="184"/>
      <c r="AA20" s="185"/>
      <c r="AB20" s="186">
        <f t="shared" si="8"/>
        <v>129417.64604999998</v>
      </c>
      <c r="AC20" s="156"/>
      <c r="AD20" s="121"/>
      <c r="AE20" s="121"/>
      <c r="AF20" s="121"/>
    </row>
    <row r="21" spans="1:32" x14ac:dyDescent="0.2">
      <c r="A21" s="20">
        <f t="shared" ref="A21:A44" si="12">A20+1</f>
        <v>10</v>
      </c>
      <c r="B21" s="260" t="s">
        <v>42</v>
      </c>
      <c r="C21" s="231">
        <v>11</v>
      </c>
      <c r="D21" s="113">
        <v>5699</v>
      </c>
      <c r="E21" s="227">
        <f t="shared" si="1"/>
        <v>569.9</v>
      </c>
      <c r="F21" s="68">
        <f t="shared" si="2"/>
        <v>6268.9</v>
      </c>
      <c r="G21" s="262">
        <f>4.38+1.17</f>
        <v>5.55</v>
      </c>
      <c r="H21" s="122">
        <f t="shared" si="3"/>
        <v>34792.394999999997</v>
      </c>
      <c r="I21" s="131">
        <v>0.1</v>
      </c>
      <c r="J21" s="122">
        <f t="shared" si="4"/>
        <v>3479.2394999999997</v>
      </c>
      <c r="K21" s="128"/>
      <c r="L21" s="124"/>
      <c r="M21" s="124"/>
      <c r="N21" s="124"/>
      <c r="O21" s="131">
        <v>0.2</v>
      </c>
      <c r="P21" s="129">
        <f t="shared" si="11"/>
        <v>6958.4789999999994</v>
      </c>
      <c r="Q21" s="131">
        <v>0.15</v>
      </c>
      <c r="R21" s="129">
        <f t="shared" si="9"/>
        <v>5218.8592499999995</v>
      </c>
      <c r="S21" s="128"/>
      <c r="T21" s="129"/>
      <c r="U21" s="125">
        <v>0.1</v>
      </c>
      <c r="V21" s="126">
        <f t="shared" si="10"/>
        <v>3479.2394999999997</v>
      </c>
      <c r="W21" s="127">
        <f t="shared" si="5"/>
        <v>53928.212249999997</v>
      </c>
      <c r="X21" s="115">
        <f t="shared" si="6"/>
        <v>215712.84899999999</v>
      </c>
      <c r="Y21" s="183">
        <f t="shared" si="7"/>
        <v>26094.296249999999</v>
      </c>
      <c r="Z21" s="184"/>
      <c r="AA21" s="185"/>
      <c r="AB21" s="186">
        <f t="shared" si="8"/>
        <v>241807.14525</v>
      </c>
      <c r="AC21" s="156"/>
      <c r="AD21" s="121"/>
      <c r="AE21" s="121"/>
      <c r="AF21" s="121"/>
    </row>
    <row r="22" spans="1:32" x14ac:dyDescent="0.2">
      <c r="A22" s="20">
        <f t="shared" si="12"/>
        <v>11</v>
      </c>
      <c r="B22" s="260" t="s">
        <v>44</v>
      </c>
      <c r="C22" s="231">
        <v>11</v>
      </c>
      <c r="D22" s="113">
        <v>5699</v>
      </c>
      <c r="E22" s="227">
        <f t="shared" si="1"/>
        <v>569.9</v>
      </c>
      <c r="F22" s="68">
        <f t="shared" si="2"/>
        <v>6268.9</v>
      </c>
      <c r="G22" s="262">
        <v>3.12</v>
      </c>
      <c r="H22" s="122">
        <f t="shared" si="3"/>
        <v>19558.968000000001</v>
      </c>
      <c r="I22" s="131">
        <v>0.1</v>
      </c>
      <c r="J22" s="122">
        <f t="shared" si="4"/>
        <v>1955.8968000000002</v>
      </c>
      <c r="K22" s="128"/>
      <c r="L22" s="124"/>
      <c r="M22" s="124"/>
      <c r="N22" s="124"/>
      <c r="O22" s="131">
        <v>0.25</v>
      </c>
      <c r="P22" s="129">
        <f>H22*O22/G22*0.75</f>
        <v>1175.4187499999998</v>
      </c>
      <c r="Q22" s="131"/>
      <c r="R22" s="129"/>
      <c r="S22" s="128">
        <v>0.15</v>
      </c>
      <c r="T22" s="129">
        <f>H22/G22*0.75*S22</f>
        <v>705.25124999999991</v>
      </c>
      <c r="U22" s="125">
        <v>0.1</v>
      </c>
      <c r="V22" s="126">
        <f t="shared" si="10"/>
        <v>1955.8968000000002</v>
      </c>
      <c r="W22" s="127">
        <f t="shared" si="5"/>
        <v>25351.4316</v>
      </c>
      <c r="X22" s="115">
        <f t="shared" si="6"/>
        <v>101405.7264</v>
      </c>
      <c r="Y22" s="183">
        <f t="shared" si="7"/>
        <v>14669.226000000001</v>
      </c>
      <c r="Z22" s="184"/>
      <c r="AA22" s="185"/>
      <c r="AB22" s="186">
        <f t="shared" si="8"/>
        <v>116074.95239999999</v>
      </c>
      <c r="AC22" s="156"/>
      <c r="AD22" s="121"/>
      <c r="AE22" s="121"/>
      <c r="AF22" s="121"/>
    </row>
    <row r="23" spans="1:32" x14ac:dyDescent="0.2">
      <c r="A23" s="20">
        <f t="shared" si="12"/>
        <v>12</v>
      </c>
      <c r="B23" s="260" t="s">
        <v>45</v>
      </c>
      <c r="C23" s="231">
        <v>10</v>
      </c>
      <c r="D23" s="113">
        <v>5265</v>
      </c>
      <c r="E23" s="227">
        <f t="shared" si="1"/>
        <v>526.5</v>
      </c>
      <c r="F23" s="68">
        <f t="shared" si="2"/>
        <v>5791.5</v>
      </c>
      <c r="G23" s="262">
        <v>0.39</v>
      </c>
      <c r="H23" s="122">
        <f t="shared" si="3"/>
        <v>2258.6849999999999</v>
      </c>
      <c r="I23" s="131">
        <v>0.3</v>
      </c>
      <c r="J23" s="122">
        <f t="shared" si="4"/>
        <v>677.60550000000001</v>
      </c>
      <c r="K23" s="128"/>
      <c r="L23" s="124"/>
      <c r="M23" s="124"/>
      <c r="N23" s="124"/>
      <c r="O23" s="131"/>
      <c r="P23" s="129"/>
      <c r="Q23" s="131"/>
      <c r="R23" s="129"/>
      <c r="S23" s="128"/>
      <c r="T23" s="129"/>
      <c r="U23" s="125">
        <v>0.1</v>
      </c>
      <c r="V23" s="126">
        <f t="shared" si="10"/>
        <v>225.86850000000001</v>
      </c>
      <c r="W23" s="127">
        <f t="shared" si="5"/>
        <v>3162.1590000000001</v>
      </c>
      <c r="X23" s="115">
        <f t="shared" si="6"/>
        <v>12648.636</v>
      </c>
      <c r="Y23" s="183">
        <f t="shared" si="7"/>
        <v>1694.0137500000001</v>
      </c>
      <c r="Z23" s="184"/>
      <c r="AA23" s="185"/>
      <c r="AB23" s="186">
        <f t="shared" si="8"/>
        <v>14342.64975</v>
      </c>
      <c r="AC23" s="156"/>
      <c r="AD23" s="121"/>
      <c r="AE23" s="121"/>
      <c r="AF23" s="121"/>
    </row>
    <row r="24" spans="1:32" x14ac:dyDescent="0.2">
      <c r="A24" s="20">
        <f t="shared" si="12"/>
        <v>13</v>
      </c>
      <c r="B24" s="260" t="s">
        <v>46</v>
      </c>
      <c r="C24" s="231">
        <v>11</v>
      </c>
      <c r="D24" s="113">
        <v>5699</v>
      </c>
      <c r="E24" s="227">
        <f t="shared" si="1"/>
        <v>569.9</v>
      </c>
      <c r="F24" s="68">
        <f t="shared" si="2"/>
        <v>6268.9</v>
      </c>
      <c r="G24" s="262">
        <v>0.96</v>
      </c>
      <c r="H24" s="122">
        <f t="shared" si="3"/>
        <v>6018.1439999999993</v>
      </c>
      <c r="I24" s="131">
        <v>0</v>
      </c>
      <c r="J24" s="122">
        <f t="shared" si="4"/>
        <v>0</v>
      </c>
      <c r="K24" s="128"/>
      <c r="L24" s="124"/>
      <c r="M24" s="124"/>
      <c r="N24" s="124"/>
      <c r="O24" s="131"/>
      <c r="P24" s="129"/>
      <c r="Q24" s="131"/>
      <c r="R24" s="129"/>
      <c r="S24" s="128"/>
      <c r="T24" s="129"/>
      <c r="U24" s="125">
        <v>0.1</v>
      </c>
      <c r="V24" s="126">
        <f t="shared" si="10"/>
        <v>601.81439999999998</v>
      </c>
      <c r="W24" s="127">
        <f t="shared" si="5"/>
        <v>6619.9583999999995</v>
      </c>
      <c r="X24" s="115">
        <f t="shared" si="6"/>
        <v>26479.833599999998</v>
      </c>
      <c r="Y24" s="183">
        <f t="shared" si="7"/>
        <v>4513.6079999999993</v>
      </c>
      <c r="Z24" s="184"/>
      <c r="AA24" s="185"/>
      <c r="AB24" s="186">
        <f t="shared" si="8"/>
        <v>30993.441599999998</v>
      </c>
      <c r="AC24" s="156"/>
      <c r="AD24" s="121"/>
      <c r="AE24" s="121"/>
      <c r="AF24" s="121"/>
    </row>
    <row r="25" spans="1:32" x14ac:dyDescent="0.2">
      <c r="A25" s="20">
        <f t="shared" si="12"/>
        <v>14</v>
      </c>
      <c r="B25" s="260" t="s">
        <v>48</v>
      </c>
      <c r="C25" s="231">
        <v>14</v>
      </c>
      <c r="D25" s="113">
        <v>7001</v>
      </c>
      <c r="E25" s="227">
        <f t="shared" si="1"/>
        <v>700.1</v>
      </c>
      <c r="F25" s="68">
        <f t="shared" si="2"/>
        <v>7701.1</v>
      </c>
      <c r="G25" s="262">
        <v>3.83</v>
      </c>
      <c r="H25" s="122">
        <f t="shared" si="3"/>
        <v>29495.213000000003</v>
      </c>
      <c r="I25" s="131">
        <v>0.2</v>
      </c>
      <c r="J25" s="122">
        <f t="shared" si="4"/>
        <v>5899.0426000000007</v>
      </c>
      <c r="K25" s="128"/>
      <c r="L25" s="124"/>
      <c r="M25" s="123" t="s">
        <v>65</v>
      </c>
      <c r="N25" s="124"/>
      <c r="O25" s="131">
        <v>0.25</v>
      </c>
      <c r="P25" s="129">
        <f>H25*O25/G25*1.39</f>
        <v>2676.1322500000001</v>
      </c>
      <c r="Q25" s="131">
        <v>0.1</v>
      </c>
      <c r="R25" s="129">
        <f>H25*Q25</f>
        <v>2949.5213000000003</v>
      </c>
      <c r="S25" s="128">
        <v>0.15</v>
      </c>
      <c r="T25" s="129">
        <f>H25*S25/G25*1.11</f>
        <v>1282.2331500000003</v>
      </c>
      <c r="U25" s="125">
        <v>0.1</v>
      </c>
      <c r="V25" s="126">
        <f t="shared" si="10"/>
        <v>2949.5213000000003</v>
      </c>
      <c r="W25" s="127">
        <f t="shared" si="5"/>
        <v>45251.663600000007</v>
      </c>
      <c r="X25" s="115">
        <f t="shared" si="6"/>
        <v>181006.65440000003</v>
      </c>
      <c r="Y25" s="183">
        <f t="shared" si="7"/>
        <v>22121.409750000003</v>
      </c>
      <c r="Z25" s="184"/>
      <c r="AA25" s="185"/>
      <c r="AB25" s="186">
        <f t="shared" si="8"/>
        <v>203128.06415000002</v>
      </c>
      <c r="AC25" s="156"/>
      <c r="AD25" s="121"/>
      <c r="AE25" s="121"/>
      <c r="AF25" s="121"/>
    </row>
    <row r="26" spans="1:32" x14ac:dyDescent="0.2">
      <c r="A26" s="20">
        <f t="shared" si="12"/>
        <v>15</v>
      </c>
      <c r="B26" s="260" t="s">
        <v>48</v>
      </c>
      <c r="C26" s="231">
        <v>14</v>
      </c>
      <c r="D26" s="113">
        <v>7001</v>
      </c>
      <c r="E26" s="227">
        <f t="shared" si="1"/>
        <v>700.1</v>
      </c>
      <c r="F26" s="68">
        <f t="shared" si="2"/>
        <v>7701.1</v>
      </c>
      <c r="G26" s="262">
        <v>0.34</v>
      </c>
      <c r="H26" s="122">
        <f t="shared" si="3"/>
        <v>2618.3740000000003</v>
      </c>
      <c r="I26" s="131">
        <v>0.3</v>
      </c>
      <c r="J26" s="122">
        <f>H26*I26</f>
        <v>785.51220000000001</v>
      </c>
      <c r="K26" s="128"/>
      <c r="L26" s="124"/>
      <c r="M26" s="123">
        <v>0.1</v>
      </c>
      <c r="N26" s="124">
        <f>H26*M26</f>
        <v>261.83740000000006</v>
      </c>
      <c r="O26" s="131"/>
      <c r="P26" s="129"/>
      <c r="Q26" s="131">
        <v>0.1</v>
      </c>
      <c r="R26" s="129">
        <f>H26*Q26</f>
        <v>261.83740000000006</v>
      </c>
      <c r="S26" s="128"/>
      <c r="T26" s="129"/>
      <c r="U26" s="125">
        <v>0.1</v>
      </c>
      <c r="V26" s="126">
        <f>H26*U26</f>
        <v>261.83740000000006</v>
      </c>
      <c r="W26" s="127">
        <f t="shared" si="5"/>
        <v>4189.3984</v>
      </c>
      <c r="X26" s="115">
        <f t="shared" si="6"/>
        <v>16757.5936</v>
      </c>
      <c r="Y26" s="183">
        <f t="shared" si="7"/>
        <v>1963.7805000000003</v>
      </c>
      <c r="Z26" s="184"/>
      <c r="AA26" s="185"/>
      <c r="AB26" s="186">
        <f t="shared" si="8"/>
        <v>18721.374100000001</v>
      </c>
      <c r="AC26" s="156"/>
      <c r="AD26" s="121"/>
      <c r="AE26" s="121"/>
      <c r="AF26" s="121"/>
    </row>
    <row r="27" spans="1:32" x14ac:dyDescent="0.2">
      <c r="A27" s="20">
        <f t="shared" si="12"/>
        <v>16</v>
      </c>
      <c r="B27" s="260" t="s">
        <v>48</v>
      </c>
      <c r="C27" s="231">
        <v>13</v>
      </c>
      <c r="D27" s="113">
        <v>6567</v>
      </c>
      <c r="E27" s="227">
        <f t="shared" si="1"/>
        <v>656.7</v>
      </c>
      <c r="F27" s="68">
        <f t="shared" si="2"/>
        <v>7223.7</v>
      </c>
      <c r="G27" s="262">
        <v>2.17</v>
      </c>
      <c r="H27" s="122">
        <f t="shared" si="3"/>
        <v>15675.428999999998</v>
      </c>
      <c r="I27" s="131">
        <v>0.3</v>
      </c>
      <c r="J27" s="122">
        <f>H27*I27</f>
        <v>4702.6286999999993</v>
      </c>
      <c r="K27" s="128"/>
      <c r="L27" s="124"/>
      <c r="M27" s="123"/>
      <c r="N27" s="124"/>
      <c r="O27" s="131"/>
      <c r="P27" s="129"/>
      <c r="Q27" s="131">
        <v>0.1</v>
      </c>
      <c r="R27" s="129">
        <f>H27*Q27</f>
        <v>1567.5428999999999</v>
      </c>
      <c r="S27" s="128"/>
      <c r="T27" s="129"/>
      <c r="U27" s="125">
        <v>0.1</v>
      </c>
      <c r="V27" s="126">
        <f>H27*U27</f>
        <v>1567.5428999999999</v>
      </c>
      <c r="W27" s="127">
        <f t="shared" si="5"/>
        <v>23513.143499999998</v>
      </c>
      <c r="X27" s="115">
        <f t="shared" si="6"/>
        <v>94052.573999999993</v>
      </c>
      <c r="Y27" s="183">
        <f t="shared" si="7"/>
        <v>11756.571749999999</v>
      </c>
      <c r="Z27" s="184"/>
      <c r="AA27" s="185"/>
      <c r="AB27" s="186">
        <f t="shared" si="8"/>
        <v>105809.14575</v>
      </c>
      <c r="AC27" s="156"/>
      <c r="AD27" s="121"/>
      <c r="AE27" s="121"/>
      <c r="AF27" s="121"/>
    </row>
    <row r="28" spans="1:32" x14ac:dyDescent="0.2">
      <c r="A28" s="20">
        <f t="shared" si="12"/>
        <v>17</v>
      </c>
      <c r="B28" s="260" t="s">
        <v>48</v>
      </c>
      <c r="C28" s="231">
        <v>12</v>
      </c>
      <c r="D28" s="113">
        <v>6133</v>
      </c>
      <c r="E28" s="227">
        <f t="shared" si="1"/>
        <v>613.30000000000007</v>
      </c>
      <c r="F28" s="68">
        <f t="shared" si="2"/>
        <v>6746.3</v>
      </c>
      <c r="G28" s="262">
        <f>1.44+1.06+0.33</f>
        <v>2.83</v>
      </c>
      <c r="H28" s="122">
        <f t="shared" si="3"/>
        <v>19092.029000000002</v>
      </c>
      <c r="I28" s="131">
        <v>0.2</v>
      </c>
      <c r="J28" s="122">
        <f t="shared" si="4"/>
        <v>3818.4058000000005</v>
      </c>
      <c r="K28" s="128"/>
      <c r="L28" s="124"/>
      <c r="M28" s="124"/>
      <c r="N28" s="124"/>
      <c r="O28" s="243">
        <v>0.25</v>
      </c>
      <c r="P28" s="129">
        <f>H28*O28/G28*1.11</f>
        <v>1872.0982500000002</v>
      </c>
      <c r="Q28" s="131">
        <v>0.1</v>
      </c>
      <c r="R28" s="129">
        <f t="shared" si="9"/>
        <v>1909.2029000000002</v>
      </c>
      <c r="S28" s="128"/>
      <c r="T28" s="129"/>
      <c r="U28" s="125">
        <v>0.1</v>
      </c>
      <c r="V28" s="126">
        <f t="shared" si="10"/>
        <v>1909.2029000000002</v>
      </c>
      <c r="W28" s="127">
        <f t="shared" si="5"/>
        <v>28600.938850000002</v>
      </c>
      <c r="X28" s="115">
        <f t="shared" si="6"/>
        <v>114403.75540000001</v>
      </c>
      <c r="Y28" s="183">
        <f t="shared" si="7"/>
        <v>14319.021750000002</v>
      </c>
      <c r="Z28" s="184"/>
      <c r="AA28" s="185"/>
      <c r="AB28" s="186">
        <f t="shared" si="8"/>
        <v>128722.77715000001</v>
      </c>
      <c r="AC28" s="156"/>
      <c r="AD28" s="121"/>
      <c r="AE28" s="121"/>
      <c r="AF28" s="121"/>
    </row>
    <row r="29" spans="1:32" x14ac:dyDescent="0.2">
      <c r="A29" s="20">
        <f t="shared" si="12"/>
        <v>18</v>
      </c>
      <c r="B29" s="260" t="s">
        <v>50</v>
      </c>
      <c r="C29" s="231">
        <v>11</v>
      </c>
      <c r="D29" s="113">
        <v>5699</v>
      </c>
      <c r="E29" s="227">
        <f t="shared" si="1"/>
        <v>569.9</v>
      </c>
      <c r="F29" s="68">
        <f t="shared" si="2"/>
        <v>6268.9</v>
      </c>
      <c r="G29" s="262">
        <v>2.5099999999999998</v>
      </c>
      <c r="H29" s="122">
        <f t="shared" si="3"/>
        <v>15734.938999999998</v>
      </c>
      <c r="I29" s="131">
        <v>0.3</v>
      </c>
      <c r="J29" s="122">
        <f>H29*0.3/G29*0.89</f>
        <v>1673.7963</v>
      </c>
      <c r="K29" s="128"/>
      <c r="L29" s="124"/>
      <c r="M29" s="124"/>
      <c r="N29" s="124"/>
      <c r="O29" s="243">
        <v>0.25</v>
      </c>
      <c r="P29" s="129">
        <f>H29*O29/G29*1.56</f>
        <v>2444.8710000000001</v>
      </c>
      <c r="Q29" s="131">
        <v>0.1</v>
      </c>
      <c r="R29" s="129">
        <f t="shared" si="9"/>
        <v>1573.4938999999999</v>
      </c>
      <c r="S29" s="128"/>
      <c r="T29" s="129"/>
      <c r="U29" s="125">
        <v>0.1</v>
      </c>
      <c r="V29" s="126">
        <f t="shared" si="10"/>
        <v>1573.4938999999999</v>
      </c>
      <c r="W29" s="127">
        <f t="shared" si="5"/>
        <v>23000.594100000002</v>
      </c>
      <c r="X29" s="115">
        <f t="shared" si="6"/>
        <v>92002.376400000008</v>
      </c>
      <c r="Y29" s="183">
        <f t="shared" si="7"/>
        <v>11801.204249999999</v>
      </c>
      <c r="Z29" s="184"/>
      <c r="AA29" s="185"/>
      <c r="AB29" s="186">
        <f t="shared" si="8"/>
        <v>103803.58065</v>
      </c>
      <c r="AC29" s="156"/>
      <c r="AD29" s="121"/>
      <c r="AE29" s="121"/>
      <c r="AF29" s="121"/>
    </row>
    <row r="30" spans="1:32" x14ac:dyDescent="0.2">
      <c r="A30" s="20">
        <f t="shared" si="12"/>
        <v>19</v>
      </c>
      <c r="B30" s="260" t="s">
        <v>51</v>
      </c>
      <c r="C30" s="231">
        <v>12</v>
      </c>
      <c r="D30" s="113">
        <v>6133</v>
      </c>
      <c r="E30" s="227">
        <f t="shared" si="1"/>
        <v>613.30000000000007</v>
      </c>
      <c r="F30" s="68">
        <f t="shared" si="2"/>
        <v>6746.3</v>
      </c>
      <c r="G30" s="262">
        <v>2.86</v>
      </c>
      <c r="H30" s="122">
        <f t="shared" si="3"/>
        <v>19294.418000000001</v>
      </c>
      <c r="I30" s="131">
        <v>0.2</v>
      </c>
      <c r="J30" s="122">
        <f t="shared" si="4"/>
        <v>3858.8836000000006</v>
      </c>
      <c r="K30" s="128"/>
      <c r="L30" s="124"/>
      <c r="M30" s="124"/>
      <c r="N30" s="124"/>
      <c r="O30" s="243">
        <v>0.25</v>
      </c>
      <c r="P30" s="129">
        <f>H30*O30/G30*0.67</f>
        <v>1130.0052500000002</v>
      </c>
      <c r="Q30" s="131">
        <v>0.2</v>
      </c>
      <c r="R30" s="129">
        <f t="shared" si="9"/>
        <v>3858.8836000000006</v>
      </c>
      <c r="S30" s="128"/>
      <c r="T30" s="129"/>
      <c r="U30" s="125">
        <v>0.1</v>
      </c>
      <c r="V30" s="126">
        <f t="shared" si="10"/>
        <v>1929.4418000000003</v>
      </c>
      <c r="W30" s="127">
        <f t="shared" si="5"/>
        <v>30071.632250000002</v>
      </c>
      <c r="X30" s="115">
        <f t="shared" si="6"/>
        <v>120286.52900000001</v>
      </c>
      <c r="Y30" s="183">
        <f t="shared" si="7"/>
        <v>14470.8135</v>
      </c>
      <c r="Z30" s="184"/>
      <c r="AA30" s="185"/>
      <c r="AB30" s="186">
        <f t="shared" si="8"/>
        <v>134757.3425</v>
      </c>
      <c r="AC30" s="156"/>
      <c r="AD30" s="121"/>
      <c r="AE30" s="121"/>
      <c r="AF30" s="121"/>
    </row>
    <row r="31" spans="1:32" x14ac:dyDescent="0.2">
      <c r="A31" s="20">
        <f t="shared" si="12"/>
        <v>20</v>
      </c>
      <c r="B31" s="260" t="s">
        <v>47</v>
      </c>
      <c r="C31" s="231">
        <v>12</v>
      </c>
      <c r="D31" s="113">
        <v>6133</v>
      </c>
      <c r="E31" s="227">
        <f t="shared" si="1"/>
        <v>613.30000000000007</v>
      </c>
      <c r="F31" s="68">
        <f t="shared" si="2"/>
        <v>6746.3</v>
      </c>
      <c r="G31" s="242">
        <v>2.0299999999999998</v>
      </c>
      <c r="H31" s="122">
        <f t="shared" si="3"/>
        <v>13694.989</v>
      </c>
      <c r="I31" s="131">
        <v>0.1</v>
      </c>
      <c r="J31" s="122">
        <f t="shared" si="4"/>
        <v>1369.4989</v>
      </c>
      <c r="K31" s="128"/>
      <c r="L31" s="124"/>
      <c r="M31" s="124"/>
      <c r="N31" s="124"/>
      <c r="O31" s="243"/>
      <c r="P31" s="129"/>
      <c r="Q31" s="131"/>
      <c r="R31" s="129"/>
      <c r="S31" s="128"/>
      <c r="T31" s="129"/>
      <c r="U31" s="125">
        <v>0.1</v>
      </c>
      <c r="V31" s="126">
        <f t="shared" si="10"/>
        <v>1369.4989</v>
      </c>
      <c r="W31" s="127">
        <f t="shared" si="5"/>
        <v>16433.986799999999</v>
      </c>
      <c r="X31" s="115">
        <f t="shared" si="6"/>
        <v>65735.947199999995</v>
      </c>
      <c r="Y31" s="183">
        <f t="shared" si="7"/>
        <v>10271.241749999999</v>
      </c>
      <c r="Z31" s="184"/>
      <c r="AA31" s="185"/>
      <c r="AB31" s="186">
        <f t="shared" si="8"/>
        <v>76007.188949999996</v>
      </c>
      <c r="AC31" s="156"/>
      <c r="AD31" s="121"/>
      <c r="AE31" s="121"/>
      <c r="AF31" s="121"/>
    </row>
    <row r="32" spans="1:32" ht="27" customHeight="1" x14ac:dyDescent="0.2">
      <c r="A32" s="20">
        <f t="shared" si="12"/>
        <v>21</v>
      </c>
      <c r="B32" s="267" t="s">
        <v>114</v>
      </c>
      <c r="C32" s="263">
        <v>12</v>
      </c>
      <c r="D32" s="264">
        <v>6133</v>
      </c>
      <c r="E32" s="265">
        <f t="shared" si="1"/>
        <v>613.30000000000007</v>
      </c>
      <c r="F32" s="266">
        <f t="shared" si="2"/>
        <v>6746.3</v>
      </c>
      <c r="G32" s="262">
        <v>5.31</v>
      </c>
      <c r="H32" s="122">
        <f t="shared" si="3"/>
        <v>35822.852999999996</v>
      </c>
      <c r="I32" s="243">
        <v>0.2</v>
      </c>
      <c r="J32" s="122">
        <f t="shared" si="4"/>
        <v>7164.5705999999991</v>
      </c>
      <c r="K32" s="128"/>
      <c r="L32" s="124"/>
      <c r="M32" s="123">
        <v>0.15</v>
      </c>
      <c r="N32" s="122">
        <f>H32*M32/G32*0.44</f>
        <v>445.25579999999997</v>
      </c>
      <c r="O32" s="243">
        <v>0.25</v>
      </c>
      <c r="P32" s="232">
        <f>H32*O32/G32*3.45</f>
        <v>5818.6837499999992</v>
      </c>
      <c r="Q32" s="131">
        <v>0.2</v>
      </c>
      <c r="R32" s="232">
        <f t="shared" si="9"/>
        <v>7164.5705999999991</v>
      </c>
      <c r="S32" s="128"/>
      <c r="T32" s="129"/>
      <c r="U32" s="125">
        <v>0.1</v>
      </c>
      <c r="V32" s="126">
        <f t="shared" si="10"/>
        <v>3582.2852999999996</v>
      </c>
      <c r="W32" s="127">
        <f t="shared" si="5"/>
        <v>59998.219049999985</v>
      </c>
      <c r="X32" s="115">
        <f t="shared" si="6"/>
        <v>239992.87619999994</v>
      </c>
      <c r="Y32" s="183">
        <f t="shared" si="7"/>
        <v>26867.139749999995</v>
      </c>
      <c r="Z32" s="184"/>
      <c r="AA32" s="185"/>
      <c r="AB32" s="186">
        <f t="shared" si="8"/>
        <v>266860.01594999991</v>
      </c>
      <c r="AC32" s="156"/>
      <c r="AD32" s="121"/>
      <c r="AE32" s="121"/>
      <c r="AF32" s="121"/>
    </row>
    <row r="33" spans="1:32" ht="25.9" customHeight="1" x14ac:dyDescent="0.2">
      <c r="A33" s="20">
        <f t="shared" si="12"/>
        <v>22</v>
      </c>
      <c r="B33" s="260" t="s">
        <v>115</v>
      </c>
      <c r="C33" s="231">
        <v>12</v>
      </c>
      <c r="D33" s="113">
        <v>6133</v>
      </c>
      <c r="E33" s="227">
        <f t="shared" si="1"/>
        <v>613.30000000000007</v>
      </c>
      <c r="F33" s="68">
        <f t="shared" si="2"/>
        <v>6746.3</v>
      </c>
      <c r="G33" s="262">
        <v>1.06</v>
      </c>
      <c r="H33" s="122">
        <f t="shared" si="3"/>
        <v>7151.0780000000004</v>
      </c>
      <c r="I33" s="243">
        <v>0.1</v>
      </c>
      <c r="J33" s="122">
        <f t="shared" si="4"/>
        <v>715.10780000000011</v>
      </c>
      <c r="K33" s="128"/>
      <c r="L33" s="124"/>
      <c r="M33" s="124"/>
      <c r="N33" s="124"/>
      <c r="O33" s="131">
        <v>0.25</v>
      </c>
      <c r="P33" s="232">
        <f t="shared" si="11"/>
        <v>1787.7695000000001</v>
      </c>
      <c r="Q33" s="131">
        <v>0.2</v>
      </c>
      <c r="R33" s="232">
        <f t="shared" si="9"/>
        <v>1430.2156000000002</v>
      </c>
      <c r="S33" s="128"/>
      <c r="T33" s="129"/>
      <c r="U33" s="125">
        <v>0.1</v>
      </c>
      <c r="V33" s="126">
        <f t="shared" si="10"/>
        <v>715.10780000000011</v>
      </c>
      <c r="W33" s="127">
        <f t="shared" si="5"/>
        <v>11799.278699999999</v>
      </c>
      <c r="X33" s="115">
        <f t="shared" si="6"/>
        <v>47197.114799999996</v>
      </c>
      <c r="Y33" s="183">
        <f t="shared" si="7"/>
        <v>5363.3085000000001</v>
      </c>
      <c r="Z33" s="184"/>
      <c r="AA33" s="185"/>
      <c r="AB33" s="186">
        <f t="shared" si="8"/>
        <v>52560.423299999995</v>
      </c>
      <c r="AC33" s="156"/>
      <c r="AD33" s="121"/>
      <c r="AE33" s="121"/>
      <c r="AF33" s="121"/>
    </row>
    <row r="34" spans="1:32" x14ac:dyDescent="0.2">
      <c r="A34" s="20">
        <f t="shared" si="12"/>
        <v>23</v>
      </c>
      <c r="B34" s="260" t="s">
        <v>52</v>
      </c>
      <c r="C34" s="263">
        <v>13</v>
      </c>
      <c r="D34" s="264">
        <v>6567</v>
      </c>
      <c r="E34" s="265">
        <f t="shared" si="1"/>
        <v>656.7</v>
      </c>
      <c r="F34" s="266">
        <f t="shared" si="2"/>
        <v>7223.7</v>
      </c>
      <c r="G34" s="262">
        <v>1.6</v>
      </c>
      <c r="H34" s="122">
        <f t="shared" si="3"/>
        <v>11557.92</v>
      </c>
      <c r="I34" s="243">
        <v>0.3</v>
      </c>
      <c r="J34" s="122">
        <f t="shared" si="4"/>
        <v>3467.3759999999997</v>
      </c>
      <c r="K34" s="128"/>
      <c r="L34" s="124"/>
      <c r="M34" s="123">
        <v>0.1</v>
      </c>
      <c r="N34" s="124">
        <f>H34*M34</f>
        <v>1155.7920000000001</v>
      </c>
      <c r="O34" s="131"/>
      <c r="P34" s="129"/>
      <c r="Q34" s="131"/>
      <c r="R34" s="129"/>
      <c r="S34" s="128"/>
      <c r="T34" s="129"/>
      <c r="U34" s="125">
        <v>0.1</v>
      </c>
      <c r="V34" s="126">
        <f t="shared" si="10"/>
        <v>1155.7920000000001</v>
      </c>
      <c r="W34" s="127">
        <f t="shared" si="5"/>
        <v>17336.88</v>
      </c>
      <c r="X34" s="115">
        <f t="shared" si="6"/>
        <v>69347.520000000004</v>
      </c>
      <c r="Y34" s="183">
        <f t="shared" si="7"/>
        <v>8668.44</v>
      </c>
      <c r="Z34" s="184"/>
      <c r="AA34" s="185"/>
      <c r="AB34" s="186">
        <f t="shared" si="8"/>
        <v>78015.960000000006</v>
      </c>
      <c r="AC34" s="156"/>
      <c r="AD34" s="121"/>
      <c r="AE34" s="121"/>
      <c r="AF34" s="121"/>
    </row>
    <row r="35" spans="1:32" ht="26.45" customHeight="1" x14ac:dyDescent="0.2">
      <c r="A35" s="20">
        <f t="shared" si="12"/>
        <v>24</v>
      </c>
      <c r="B35" s="260" t="s">
        <v>116</v>
      </c>
      <c r="C35" s="231">
        <v>11</v>
      </c>
      <c r="D35" s="113">
        <v>5699</v>
      </c>
      <c r="E35" s="227">
        <f t="shared" si="1"/>
        <v>569.9</v>
      </c>
      <c r="F35" s="68">
        <f t="shared" si="2"/>
        <v>6268.9</v>
      </c>
      <c r="G35" s="262">
        <v>0.7</v>
      </c>
      <c r="H35" s="122">
        <f t="shared" si="3"/>
        <v>4388.2299999999996</v>
      </c>
      <c r="I35" s="243">
        <v>0.1</v>
      </c>
      <c r="J35" s="244">
        <f t="shared" si="4"/>
        <v>438.82299999999998</v>
      </c>
      <c r="K35" s="128"/>
      <c r="L35" s="124"/>
      <c r="M35" s="124"/>
      <c r="N35" s="124"/>
      <c r="O35" s="131">
        <v>0.25</v>
      </c>
      <c r="P35" s="129">
        <f>H35*O35</f>
        <v>1097.0574999999999</v>
      </c>
      <c r="Q35" s="131"/>
      <c r="R35" s="129"/>
      <c r="S35" s="128"/>
      <c r="T35" s="129"/>
      <c r="U35" s="125">
        <v>0.1</v>
      </c>
      <c r="V35" s="126">
        <f t="shared" si="10"/>
        <v>438.82299999999998</v>
      </c>
      <c r="W35" s="127">
        <f t="shared" si="5"/>
        <v>6362.9335000000001</v>
      </c>
      <c r="X35" s="115">
        <f t="shared" si="6"/>
        <v>25451.734</v>
      </c>
      <c r="Y35" s="183">
        <f t="shared" si="7"/>
        <v>3291.1724999999997</v>
      </c>
      <c r="Z35" s="184"/>
      <c r="AA35" s="185"/>
      <c r="AB35" s="186">
        <f t="shared" si="8"/>
        <v>28742.906500000001</v>
      </c>
      <c r="AC35" s="156"/>
      <c r="AD35" s="121"/>
      <c r="AE35" s="121"/>
      <c r="AF35" s="121"/>
    </row>
    <row r="36" spans="1:32" x14ac:dyDescent="0.2">
      <c r="A36" s="20">
        <f t="shared" si="12"/>
        <v>25</v>
      </c>
      <c r="B36" s="260" t="s">
        <v>117</v>
      </c>
      <c r="C36" s="231">
        <v>14</v>
      </c>
      <c r="D36" s="113">
        <v>7001</v>
      </c>
      <c r="E36" s="227">
        <f t="shared" si="1"/>
        <v>700.1</v>
      </c>
      <c r="F36" s="68">
        <f t="shared" si="2"/>
        <v>7701.1</v>
      </c>
      <c r="G36" s="262">
        <v>0.7</v>
      </c>
      <c r="H36" s="122">
        <f t="shared" si="3"/>
        <v>5390.7699999999995</v>
      </c>
      <c r="I36" s="243">
        <v>0.3</v>
      </c>
      <c r="J36" s="244">
        <f t="shared" si="4"/>
        <v>1617.2309999999998</v>
      </c>
      <c r="K36" s="128"/>
      <c r="L36" s="124"/>
      <c r="M36" s="123">
        <v>0.1</v>
      </c>
      <c r="N36" s="124">
        <f>M36*H36/G36*0.2</f>
        <v>154.02200000000002</v>
      </c>
      <c r="O36" s="131"/>
      <c r="P36" s="129"/>
      <c r="Q36" s="131"/>
      <c r="R36" s="129"/>
      <c r="S36" s="128"/>
      <c r="T36" s="129"/>
      <c r="U36" s="125">
        <v>0.1</v>
      </c>
      <c r="V36" s="126">
        <f t="shared" si="10"/>
        <v>539.077</v>
      </c>
      <c r="W36" s="127">
        <f t="shared" si="5"/>
        <v>7701.0999999999995</v>
      </c>
      <c r="X36" s="115">
        <f t="shared" si="6"/>
        <v>30804.399999999998</v>
      </c>
      <c r="Y36" s="183">
        <f t="shared" si="7"/>
        <v>4043.0774999999994</v>
      </c>
      <c r="Z36" s="184"/>
      <c r="AA36" s="185"/>
      <c r="AB36" s="186">
        <f t="shared" si="8"/>
        <v>34847.477499999994</v>
      </c>
      <c r="AC36" s="156"/>
      <c r="AD36" s="121"/>
      <c r="AE36" s="121"/>
      <c r="AF36" s="121"/>
    </row>
    <row r="37" spans="1:32" ht="24" x14ac:dyDescent="0.2">
      <c r="A37" s="20">
        <f t="shared" si="12"/>
        <v>26</v>
      </c>
      <c r="B37" s="260" t="s">
        <v>119</v>
      </c>
      <c r="C37" s="231">
        <v>13</v>
      </c>
      <c r="D37" s="113">
        <v>6567</v>
      </c>
      <c r="E37" s="227">
        <f t="shared" si="1"/>
        <v>656.7</v>
      </c>
      <c r="F37" s="68">
        <f t="shared" si="2"/>
        <v>7223.7</v>
      </c>
      <c r="G37" s="242">
        <v>0.63</v>
      </c>
      <c r="H37" s="122">
        <f t="shared" si="3"/>
        <v>4550.9309999999996</v>
      </c>
      <c r="I37" s="243">
        <v>0.3</v>
      </c>
      <c r="J37" s="244">
        <f t="shared" si="4"/>
        <v>1365.2792999999999</v>
      </c>
      <c r="K37" s="128"/>
      <c r="L37" s="124"/>
      <c r="M37" s="124"/>
      <c r="N37" s="124"/>
      <c r="O37" s="131"/>
      <c r="P37" s="129"/>
      <c r="Q37" s="131"/>
      <c r="R37" s="129"/>
      <c r="S37" s="128"/>
      <c r="T37" s="129"/>
      <c r="U37" s="125">
        <v>0.1</v>
      </c>
      <c r="V37" s="126">
        <f t="shared" si="10"/>
        <v>455.09309999999999</v>
      </c>
      <c r="W37" s="127">
        <f t="shared" si="5"/>
        <v>6371.3033999999998</v>
      </c>
      <c r="X37" s="115">
        <f t="shared" si="6"/>
        <v>25485.213599999999</v>
      </c>
      <c r="Y37" s="183">
        <f t="shared" si="7"/>
        <v>3413.1982499999995</v>
      </c>
      <c r="Z37" s="184"/>
      <c r="AA37" s="185"/>
      <c r="AB37" s="186">
        <f t="shared" si="8"/>
        <v>28898.411849999997</v>
      </c>
      <c r="AC37" s="156"/>
      <c r="AD37" s="121"/>
      <c r="AE37" s="121"/>
      <c r="AF37" s="121"/>
    </row>
    <row r="38" spans="1:32" x14ac:dyDescent="0.2">
      <c r="A38" s="20">
        <f t="shared" si="12"/>
        <v>27</v>
      </c>
      <c r="B38" s="260" t="s">
        <v>74</v>
      </c>
      <c r="C38" s="231">
        <v>11</v>
      </c>
      <c r="D38" s="113">
        <v>5699</v>
      </c>
      <c r="E38" s="227">
        <f t="shared" si="1"/>
        <v>569.9</v>
      </c>
      <c r="F38" s="68">
        <f t="shared" si="2"/>
        <v>6268.9</v>
      </c>
      <c r="G38" s="262">
        <v>0.68</v>
      </c>
      <c r="H38" s="122">
        <f t="shared" si="3"/>
        <v>4262.8519999999999</v>
      </c>
      <c r="I38" s="243"/>
      <c r="J38" s="244">
        <f t="shared" si="4"/>
        <v>0</v>
      </c>
      <c r="K38" s="128"/>
      <c r="L38" s="124"/>
      <c r="M38" s="123"/>
      <c r="N38" s="124"/>
      <c r="O38" s="131">
        <v>0.25</v>
      </c>
      <c r="P38" s="129">
        <f>H38*O38</f>
        <v>1065.713</v>
      </c>
      <c r="Q38" s="131"/>
      <c r="R38" s="129"/>
      <c r="S38" s="128"/>
      <c r="T38" s="129"/>
      <c r="U38" s="125">
        <v>0.1</v>
      </c>
      <c r="V38" s="126">
        <f>H38*U38</f>
        <v>426.28520000000003</v>
      </c>
      <c r="W38" s="127">
        <f t="shared" si="5"/>
        <v>5754.8501999999999</v>
      </c>
      <c r="X38" s="115">
        <f t="shared" si="6"/>
        <v>23019.400799999999</v>
      </c>
      <c r="Y38" s="183">
        <f t="shared" si="7"/>
        <v>3197.1390000000001</v>
      </c>
      <c r="Z38" s="184"/>
      <c r="AA38" s="185"/>
      <c r="AB38" s="186">
        <f t="shared" si="8"/>
        <v>26216.539799999999</v>
      </c>
      <c r="AC38" s="156"/>
      <c r="AD38" s="121"/>
      <c r="AE38" s="121"/>
      <c r="AF38" s="121"/>
    </row>
    <row r="39" spans="1:32" x14ac:dyDescent="0.2">
      <c r="A39" s="20">
        <f t="shared" si="12"/>
        <v>28</v>
      </c>
      <c r="B39" s="260" t="s">
        <v>75</v>
      </c>
      <c r="C39" s="231">
        <v>11</v>
      </c>
      <c r="D39" s="113">
        <v>5699</v>
      </c>
      <c r="E39" s="227">
        <f t="shared" si="1"/>
        <v>569.9</v>
      </c>
      <c r="F39" s="68">
        <f t="shared" si="2"/>
        <v>6268.9</v>
      </c>
      <c r="G39" s="262">
        <v>0.94</v>
      </c>
      <c r="H39" s="122">
        <f t="shared" si="3"/>
        <v>5892.7659999999996</v>
      </c>
      <c r="I39" s="243"/>
      <c r="J39" s="244">
        <f t="shared" si="4"/>
        <v>0</v>
      </c>
      <c r="K39" s="128"/>
      <c r="L39" s="124"/>
      <c r="M39" s="123"/>
      <c r="N39" s="124"/>
      <c r="O39" s="131">
        <v>0.25</v>
      </c>
      <c r="P39" s="129">
        <f>H39*O39</f>
        <v>1473.1914999999999</v>
      </c>
      <c r="Q39" s="131"/>
      <c r="R39" s="129"/>
      <c r="S39" s="128"/>
      <c r="T39" s="129"/>
      <c r="U39" s="125">
        <v>0.1</v>
      </c>
      <c r="V39" s="126">
        <f>H39*U39</f>
        <v>589.27660000000003</v>
      </c>
      <c r="W39" s="127">
        <f t="shared" si="5"/>
        <v>7955.2340999999997</v>
      </c>
      <c r="X39" s="115">
        <f t="shared" si="6"/>
        <v>31820.936399999999</v>
      </c>
      <c r="Y39" s="183">
        <f t="shared" si="7"/>
        <v>4419.5744999999997</v>
      </c>
      <c r="Z39" s="184"/>
      <c r="AA39" s="185"/>
      <c r="AB39" s="186">
        <f t="shared" si="8"/>
        <v>36240.510900000001</v>
      </c>
      <c r="AC39" s="156"/>
      <c r="AD39" s="121"/>
      <c r="AE39" s="121"/>
      <c r="AF39" s="121"/>
    </row>
    <row r="40" spans="1:32" x14ac:dyDescent="0.2">
      <c r="A40" s="20">
        <f t="shared" si="12"/>
        <v>29</v>
      </c>
      <c r="B40" s="260" t="s">
        <v>79</v>
      </c>
      <c r="C40" s="231">
        <v>12</v>
      </c>
      <c r="D40" s="113">
        <v>6133</v>
      </c>
      <c r="E40" s="227">
        <f t="shared" si="1"/>
        <v>613.30000000000007</v>
      </c>
      <c r="F40" s="68">
        <f t="shared" si="2"/>
        <v>6746.3</v>
      </c>
      <c r="G40" s="262">
        <v>0.78</v>
      </c>
      <c r="H40" s="122">
        <f t="shared" si="3"/>
        <v>5262.1140000000005</v>
      </c>
      <c r="I40" s="131">
        <v>0.2</v>
      </c>
      <c r="J40" s="244">
        <f t="shared" si="4"/>
        <v>1052.4228000000001</v>
      </c>
      <c r="K40" s="128"/>
      <c r="L40" s="124"/>
      <c r="M40" s="125"/>
      <c r="N40" s="124"/>
      <c r="O40" s="131"/>
      <c r="P40" s="129"/>
      <c r="Q40" s="131"/>
      <c r="R40" s="129"/>
      <c r="S40" s="128"/>
      <c r="T40" s="129"/>
      <c r="U40" s="125">
        <v>0.1</v>
      </c>
      <c r="V40" s="126">
        <f t="shared" si="10"/>
        <v>526.21140000000003</v>
      </c>
      <c r="W40" s="127">
        <f t="shared" si="5"/>
        <v>6840.7482000000009</v>
      </c>
      <c r="X40" s="115">
        <f t="shared" si="6"/>
        <v>27362.992800000004</v>
      </c>
      <c r="Y40" s="183">
        <f t="shared" si="7"/>
        <v>3946.5855000000001</v>
      </c>
      <c r="Z40" s="184"/>
      <c r="AA40" s="185"/>
      <c r="AB40" s="186">
        <f t="shared" si="8"/>
        <v>31309.578300000005</v>
      </c>
      <c r="AC40" s="156"/>
      <c r="AD40" s="121"/>
      <c r="AE40" s="121"/>
      <c r="AF40" s="121"/>
    </row>
    <row r="41" spans="1:32" x14ac:dyDescent="0.2">
      <c r="A41" s="20">
        <f t="shared" si="12"/>
        <v>30</v>
      </c>
      <c r="B41" s="260" t="s">
        <v>80</v>
      </c>
      <c r="C41" s="231">
        <v>12</v>
      </c>
      <c r="D41" s="113">
        <v>6133</v>
      </c>
      <c r="E41" s="227">
        <f t="shared" si="1"/>
        <v>613.30000000000007</v>
      </c>
      <c r="F41" s="68">
        <f t="shared" si="2"/>
        <v>6746.3</v>
      </c>
      <c r="G41" s="262">
        <v>0.61</v>
      </c>
      <c r="H41" s="122">
        <f t="shared" si="3"/>
        <v>4115.2430000000004</v>
      </c>
      <c r="I41" s="131">
        <v>0.3</v>
      </c>
      <c r="J41" s="244">
        <f t="shared" si="4"/>
        <v>1234.5729000000001</v>
      </c>
      <c r="K41" s="128"/>
      <c r="L41" s="124"/>
      <c r="M41" s="125"/>
      <c r="N41" s="124"/>
      <c r="O41" s="131">
        <v>0.25</v>
      </c>
      <c r="P41" s="129">
        <f>O41*H41</f>
        <v>1028.8107500000001</v>
      </c>
      <c r="Q41" s="131"/>
      <c r="R41" s="129"/>
      <c r="S41" s="128"/>
      <c r="T41" s="129"/>
      <c r="U41" s="125">
        <v>0.1</v>
      </c>
      <c r="V41" s="126">
        <f t="shared" si="10"/>
        <v>411.52430000000004</v>
      </c>
      <c r="W41" s="127">
        <f t="shared" si="5"/>
        <v>6790.1509500000002</v>
      </c>
      <c r="X41" s="115">
        <f t="shared" si="6"/>
        <v>27160.603800000001</v>
      </c>
      <c r="Y41" s="183">
        <f t="shared" si="7"/>
        <v>3086.4322500000003</v>
      </c>
      <c r="Z41" s="184"/>
      <c r="AA41" s="185"/>
      <c r="AB41" s="186">
        <f t="shared" si="8"/>
        <v>30247.036050000002</v>
      </c>
      <c r="AC41" s="156"/>
      <c r="AD41" s="121"/>
      <c r="AE41" s="121"/>
      <c r="AF41" s="121"/>
    </row>
    <row r="42" spans="1:32" x14ac:dyDescent="0.2">
      <c r="A42" s="20">
        <f t="shared" si="12"/>
        <v>31</v>
      </c>
      <c r="B42" s="260" t="s">
        <v>118</v>
      </c>
      <c r="C42" s="231">
        <v>13</v>
      </c>
      <c r="D42" s="113">
        <v>6567</v>
      </c>
      <c r="E42" s="227">
        <f t="shared" si="1"/>
        <v>656.7</v>
      </c>
      <c r="F42" s="68">
        <f t="shared" si="2"/>
        <v>7223.7</v>
      </c>
      <c r="G42" s="262">
        <v>0.11</v>
      </c>
      <c r="H42" s="122">
        <f t="shared" si="3"/>
        <v>794.60699999999997</v>
      </c>
      <c r="I42" s="131">
        <v>0.3</v>
      </c>
      <c r="J42" s="244">
        <f t="shared" si="4"/>
        <v>238.38209999999998</v>
      </c>
      <c r="K42" s="128"/>
      <c r="L42" s="124"/>
      <c r="M42" s="125"/>
      <c r="N42" s="124"/>
      <c r="O42" s="131"/>
      <c r="P42" s="129"/>
      <c r="Q42" s="131"/>
      <c r="R42" s="129"/>
      <c r="S42" s="128"/>
      <c r="T42" s="129"/>
      <c r="U42" s="125">
        <v>0.1</v>
      </c>
      <c r="V42" s="126">
        <f t="shared" si="10"/>
        <v>79.460700000000003</v>
      </c>
      <c r="W42" s="127">
        <f t="shared" si="5"/>
        <v>1112.4498000000001</v>
      </c>
      <c r="X42" s="115">
        <f t="shared" si="6"/>
        <v>4449.7992000000004</v>
      </c>
      <c r="Y42" s="183">
        <f t="shared" si="7"/>
        <v>595.95524999999998</v>
      </c>
      <c r="Z42" s="184"/>
      <c r="AA42" s="185"/>
      <c r="AB42" s="186">
        <f t="shared" si="8"/>
        <v>5045.7544500000004</v>
      </c>
      <c r="AC42" s="156"/>
      <c r="AD42" s="121"/>
      <c r="AE42" s="121"/>
      <c r="AF42" s="121"/>
    </row>
    <row r="43" spans="1:32" x14ac:dyDescent="0.2">
      <c r="A43" s="20">
        <f t="shared" si="12"/>
        <v>32</v>
      </c>
      <c r="B43" s="261" t="s">
        <v>41</v>
      </c>
      <c r="C43" s="231">
        <v>11</v>
      </c>
      <c r="D43" s="113">
        <v>5699</v>
      </c>
      <c r="E43" s="227">
        <f t="shared" si="1"/>
        <v>569.9</v>
      </c>
      <c r="F43" s="68">
        <f t="shared" si="2"/>
        <v>6268.9</v>
      </c>
      <c r="G43" s="242">
        <v>1</v>
      </c>
      <c r="H43" s="122">
        <f t="shared" si="3"/>
        <v>6268.9</v>
      </c>
      <c r="I43" s="131">
        <v>0.2</v>
      </c>
      <c r="J43" s="122">
        <f>H43*I43</f>
        <v>1253.78</v>
      </c>
      <c r="K43" s="128"/>
      <c r="L43" s="124"/>
      <c r="M43" s="124"/>
      <c r="N43" s="124"/>
      <c r="O43" s="131"/>
      <c r="P43" s="129"/>
      <c r="Q43" s="131"/>
      <c r="R43" s="129"/>
      <c r="S43" s="128"/>
      <c r="T43" s="129"/>
      <c r="U43" s="125">
        <v>0.1</v>
      </c>
      <c r="V43" s="126">
        <f>H43*U43</f>
        <v>626.89</v>
      </c>
      <c r="W43" s="127">
        <f t="shared" si="5"/>
        <v>8149.57</v>
      </c>
      <c r="X43" s="115">
        <f t="shared" si="6"/>
        <v>32598.28</v>
      </c>
      <c r="Y43" s="183">
        <f t="shared" si="7"/>
        <v>4701.6749999999993</v>
      </c>
      <c r="Z43" s="184"/>
      <c r="AA43" s="185"/>
      <c r="AB43" s="186">
        <f t="shared" si="8"/>
        <v>37299.955000000002</v>
      </c>
      <c r="AC43" s="156"/>
      <c r="AD43" s="121"/>
      <c r="AE43" s="121"/>
      <c r="AF43" s="121"/>
    </row>
    <row r="44" spans="1:32" ht="13.5" thickBot="1" x14ac:dyDescent="0.25">
      <c r="A44" s="20">
        <f t="shared" si="12"/>
        <v>33</v>
      </c>
      <c r="B44" s="261" t="s">
        <v>64</v>
      </c>
      <c r="C44" s="231">
        <v>10</v>
      </c>
      <c r="D44" s="113">
        <v>5265</v>
      </c>
      <c r="E44" s="227">
        <f t="shared" si="1"/>
        <v>526.5</v>
      </c>
      <c r="F44" s="68">
        <f t="shared" si="2"/>
        <v>5791.5</v>
      </c>
      <c r="G44" s="242">
        <v>1</v>
      </c>
      <c r="H44" s="122">
        <f t="shared" si="3"/>
        <v>5791.5</v>
      </c>
      <c r="I44" s="131">
        <v>0.1</v>
      </c>
      <c r="J44" s="122">
        <f>H44*I44</f>
        <v>579.15</v>
      </c>
      <c r="K44" s="128"/>
      <c r="L44" s="124"/>
      <c r="M44" s="124"/>
      <c r="N44" s="124"/>
      <c r="O44" s="131"/>
      <c r="P44" s="129"/>
      <c r="Q44" s="131"/>
      <c r="R44" s="129"/>
      <c r="S44" s="128"/>
      <c r="T44" s="129"/>
      <c r="U44" s="125">
        <v>0.1</v>
      </c>
      <c r="V44" s="126">
        <f>H44*U44</f>
        <v>579.15</v>
      </c>
      <c r="W44" s="127">
        <f t="shared" si="5"/>
        <v>6949.7999999999993</v>
      </c>
      <c r="X44" s="115">
        <f t="shared" si="6"/>
        <v>27799.199999999997</v>
      </c>
      <c r="Y44" s="183">
        <f t="shared" si="7"/>
        <v>4343.625</v>
      </c>
      <c r="Z44" s="184"/>
      <c r="AA44" s="185"/>
      <c r="AB44" s="186">
        <f t="shared" si="8"/>
        <v>32142.824999999997</v>
      </c>
      <c r="AC44" s="156"/>
      <c r="AD44" s="121"/>
      <c r="AE44" s="121"/>
      <c r="AF44" s="121"/>
    </row>
    <row r="45" spans="1:32" ht="13.5" thickBot="1" x14ac:dyDescent="0.25">
      <c r="A45" s="72"/>
      <c r="B45" s="116" t="s">
        <v>71</v>
      </c>
      <c r="C45" s="72"/>
      <c r="D45" s="117"/>
      <c r="E45" s="117"/>
      <c r="F45" s="117"/>
      <c r="G45" s="117">
        <f>SUM(G11:G44)</f>
        <v>57.940000000000012</v>
      </c>
      <c r="H45" s="120">
        <f>SUM(H11:H44)</f>
        <v>401860.38200000004</v>
      </c>
      <c r="I45" s="118"/>
      <c r="J45" s="120">
        <f>SUM(J11:J44)</f>
        <v>75739.522099999987</v>
      </c>
      <c r="K45" s="118"/>
      <c r="L45" s="120">
        <f>SUM(L11:L44)</f>
        <v>4773.45</v>
      </c>
      <c r="M45" s="118"/>
      <c r="N45" s="118">
        <f>SUM(N11:N44)</f>
        <v>3487.8173000000006</v>
      </c>
      <c r="O45" s="118"/>
      <c r="P45" s="118">
        <f>SUM(P11:P44)</f>
        <v>44863.417500000003</v>
      </c>
      <c r="Q45" s="118"/>
      <c r="R45" s="118">
        <f>SUM(R11:R44)</f>
        <v>38185.517700000004</v>
      </c>
      <c r="S45" s="118"/>
      <c r="T45" s="118">
        <f>SUM(T11:T44)</f>
        <v>1987.4844000000003</v>
      </c>
      <c r="U45" s="118"/>
      <c r="V45" s="120">
        <f t="shared" ref="V45:AA45" si="13">SUM(V11:V44)</f>
        <v>40186.038199999988</v>
      </c>
      <c r="W45" s="120">
        <f t="shared" si="13"/>
        <v>611083.62920000008</v>
      </c>
      <c r="X45" s="161">
        <f t="shared" si="13"/>
        <v>2444334.5168000003</v>
      </c>
      <c r="Y45" s="161">
        <f t="shared" si="13"/>
        <v>301395.28650000005</v>
      </c>
      <c r="Z45" s="161">
        <f t="shared" si="13"/>
        <v>0</v>
      </c>
      <c r="AA45" s="161">
        <f t="shared" si="13"/>
        <v>24270.21</v>
      </c>
      <c r="AB45" s="161">
        <f>SUM(AB11:AB44)-0.01</f>
        <v>2770000.0033000004</v>
      </c>
      <c r="AC45" s="178"/>
      <c r="AD45" s="163"/>
      <c r="AE45" s="145"/>
      <c r="AF45" s="121"/>
    </row>
    <row r="46" spans="1:32" x14ac:dyDescent="0.2">
      <c r="A46" s="111"/>
      <c r="B46" s="119" t="s">
        <v>70</v>
      </c>
      <c r="C46" s="113"/>
      <c r="D46" s="113"/>
      <c r="E46" s="112"/>
      <c r="F46" s="68"/>
      <c r="G46" s="41"/>
      <c r="H46" s="122"/>
      <c r="I46" s="131"/>
      <c r="J46" s="122"/>
      <c r="K46" s="125"/>
      <c r="L46" s="124"/>
      <c r="M46" s="124"/>
      <c r="N46" s="124"/>
      <c r="O46" s="131"/>
      <c r="P46" s="129"/>
      <c r="Q46" s="131"/>
      <c r="R46" s="129"/>
      <c r="S46" s="128"/>
      <c r="T46" s="129"/>
      <c r="U46" s="125"/>
      <c r="V46" s="126"/>
      <c r="W46" s="127"/>
      <c r="X46" s="115"/>
      <c r="Y46" s="187"/>
      <c r="Z46" s="188"/>
      <c r="AA46" s="185"/>
      <c r="AB46" s="189"/>
      <c r="AC46" s="156"/>
      <c r="AD46" s="163"/>
      <c r="AE46" s="121"/>
      <c r="AF46" s="121"/>
    </row>
    <row r="47" spans="1:32" x14ac:dyDescent="0.2">
      <c r="A47" s="111">
        <f>A44+1</f>
        <v>34</v>
      </c>
      <c r="B47" s="70" t="s">
        <v>43</v>
      </c>
      <c r="C47" s="113">
        <v>13</v>
      </c>
      <c r="D47" s="113">
        <v>6567</v>
      </c>
      <c r="E47" s="112">
        <f t="shared" si="1"/>
        <v>656.7</v>
      </c>
      <c r="F47" s="68">
        <f t="shared" si="2"/>
        <v>7223.7</v>
      </c>
      <c r="G47" s="41">
        <v>1.5</v>
      </c>
      <c r="H47" s="122">
        <f t="shared" si="3"/>
        <v>10835.55</v>
      </c>
      <c r="I47" s="131">
        <v>0.3</v>
      </c>
      <c r="J47" s="122">
        <f t="shared" ref="J47:J50" si="14">H47*I47</f>
        <v>3250.6649999999995</v>
      </c>
      <c r="K47" s="123"/>
      <c r="L47" s="124"/>
      <c r="M47" s="124"/>
      <c r="N47" s="124"/>
      <c r="O47" s="131"/>
      <c r="P47" s="129"/>
      <c r="Q47" s="131"/>
      <c r="R47" s="129"/>
      <c r="S47" s="128"/>
      <c r="T47" s="129"/>
      <c r="U47" s="132">
        <v>0.1</v>
      </c>
      <c r="V47" s="126">
        <f t="shared" ref="V47:V50" si="15">H47*U47</f>
        <v>1083.5550000000001</v>
      </c>
      <c r="W47" s="127">
        <f>H47+J47+L47+P47+R47+T47+V47+N47</f>
        <v>15169.769999999999</v>
      </c>
      <c r="X47" s="115">
        <f>W47*4</f>
        <v>60679.079999999994</v>
      </c>
      <c r="Y47" s="183">
        <f>H47</f>
        <v>10835.55</v>
      </c>
      <c r="Z47" s="184"/>
      <c r="AA47" s="185">
        <f>H47*0.7+21.33</f>
        <v>7606.2149999999992</v>
      </c>
      <c r="AB47" s="186">
        <f>X47+Y47+AA47+Z47</f>
        <v>79120.844999999987</v>
      </c>
      <c r="AC47" s="156"/>
      <c r="AD47" s="163"/>
      <c r="AE47" s="121"/>
      <c r="AF47" s="121"/>
    </row>
    <row r="48" spans="1:32" x14ac:dyDescent="0.2">
      <c r="A48" s="111">
        <f t="shared" ref="A48:A50" si="16">A47+1</f>
        <v>35</v>
      </c>
      <c r="B48" s="70" t="s">
        <v>43</v>
      </c>
      <c r="C48" s="113">
        <v>13</v>
      </c>
      <c r="D48" s="113">
        <v>6567</v>
      </c>
      <c r="E48" s="112">
        <f t="shared" si="1"/>
        <v>656.7</v>
      </c>
      <c r="F48" s="68">
        <f t="shared" si="2"/>
        <v>7223.7</v>
      </c>
      <c r="G48" s="41">
        <v>1.5</v>
      </c>
      <c r="H48" s="122">
        <f t="shared" si="3"/>
        <v>10835.55</v>
      </c>
      <c r="I48" s="131">
        <v>0.2</v>
      </c>
      <c r="J48" s="122">
        <f t="shared" si="14"/>
        <v>2167.11</v>
      </c>
      <c r="K48" s="123"/>
      <c r="L48" s="124"/>
      <c r="M48" s="124"/>
      <c r="N48" s="124"/>
      <c r="O48" s="131"/>
      <c r="P48" s="129"/>
      <c r="Q48" s="131"/>
      <c r="R48" s="129"/>
      <c r="S48" s="128"/>
      <c r="T48" s="129"/>
      <c r="U48" s="132">
        <v>0.1</v>
      </c>
      <c r="V48" s="126">
        <f t="shared" si="15"/>
        <v>1083.5550000000001</v>
      </c>
      <c r="W48" s="127">
        <f t="shared" si="5"/>
        <v>14086.215</v>
      </c>
      <c r="X48" s="115">
        <f t="shared" ref="X48:X50" si="17">W48*4</f>
        <v>56344.86</v>
      </c>
      <c r="Y48" s="183">
        <f t="shared" ref="Y48:Y50" si="18">H48</f>
        <v>10835.55</v>
      </c>
      <c r="Z48" s="184"/>
      <c r="AA48" s="185">
        <f>H48*0.7-410.42</f>
        <v>7174.4649999999992</v>
      </c>
      <c r="AB48" s="186">
        <f t="shared" ref="AB48:AB50" si="19">X48+Y48+AA48+Z48</f>
        <v>74354.875</v>
      </c>
      <c r="AC48" s="156"/>
      <c r="AD48" s="163"/>
      <c r="AE48" s="121"/>
      <c r="AF48" s="121"/>
    </row>
    <row r="49" spans="1:32" x14ac:dyDescent="0.2">
      <c r="A49" s="111">
        <f t="shared" si="16"/>
        <v>36</v>
      </c>
      <c r="B49" s="70" t="s">
        <v>43</v>
      </c>
      <c r="C49" s="113">
        <v>12</v>
      </c>
      <c r="D49" s="113">
        <v>6133</v>
      </c>
      <c r="E49" s="112">
        <f t="shared" si="1"/>
        <v>613.30000000000007</v>
      </c>
      <c r="F49" s="68">
        <f t="shared" si="2"/>
        <v>6746.3</v>
      </c>
      <c r="G49" s="41">
        <v>1.5</v>
      </c>
      <c r="H49" s="122">
        <f t="shared" si="3"/>
        <v>10119.450000000001</v>
      </c>
      <c r="I49" s="131">
        <v>0.1</v>
      </c>
      <c r="J49" s="122">
        <f t="shared" si="14"/>
        <v>1011.9450000000002</v>
      </c>
      <c r="K49" s="123"/>
      <c r="L49" s="124"/>
      <c r="M49" s="124"/>
      <c r="N49" s="124"/>
      <c r="O49" s="131"/>
      <c r="P49" s="129"/>
      <c r="Q49" s="131"/>
      <c r="R49" s="129"/>
      <c r="S49" s="128"/>
      <c r="T49" s="129"/>
      <c r="U49" s="132">
        <v>0.1</v>
      </c>
      <c r="V49" s="126">
        <f t="shared" si="15"/>
        <v>1011.9450000000002</v>
      </c>
      <c r="W49" s="127">
        <f t="shared" si="5"/>
        <v>12143.34</v>
      </c>
      <c r="X49" s="115">
        <f t="shared" si="17"/>
        <v>48573.36</v>
      </c>
      <c r="Y49" s="183">
        <f t="shared" si="18"/>
        <v>10119.450000000001</v>
      </c>
      <c r="Z49" s="184"/>
      <c r="AA49" s="185">
        <f t="shared" ref="AA49:AA50" si="20">H49*0.7</f>
        <v>7083.6149999999998</v>
      </c>
      <c r="AB49" s="186">
        <f t="shared" si="19"/>
        <v>65776.425000000003</v>
      </c>
      <c r="AC49" s="156"/>
      <c r="AD49" s="163"/>
      <c r="AE49" s="121"/>
      <c r="AF49" s="121"/>
    </row>
    <row r="50" spans="1:32" ht="13.5" thickBot="1" x14ac:dyDescent="0.25">
      <c r="A50" s="111">
        <f t="shared" si="16"/>
        <v>37</v>
      </c>
      <c r="B50" s="70" t="s">
        <v>43</v>
      </c>
      <c r="C50" s="113">
        <v>11</v>
      </c>
      <c r="D50" s="113">
        <v>5699</v>
      </c>
      <c r="E50" s="112">
        <f t="shared" si="1"/>
        <v>569.9</v>
      </c>
      <c r="F50" s="68">
        <f t="shared" si="2"/>
        <v>6268.9</v>
      </c>
      <c r="G50" s="41">
        <v>1</v>
      </c>
      <c r="H50" s="122">
        <f t="shared" si="3"/>
        <v>6268.9</v>
      </c>
      <c r="I50" s="131">
        <v>0.1</v>
      </c>
      <c r="J50" s="122">
        <f t="shared" si="14"/>
        <v>626.89</v>
      </c>
      <c r="K50" s="123"/>
      <c r="L50" s="124"/>
      <c r="M50" s="124"/>
      <c r="N50" s="124"/>
      <c r="O50" s="131"/>
      <c r="P50" s="129"/>
      <c r="Q50" s="131"/>
      <c r="R50" s="129"/>
      <c r="S50" s="128"/>
      <c r="T50" s="129"/>
      <c r="U50" s="132">
        <v>0.1</v>
      </c>
      <c r="V50" s="126">
        <f t="shared" si="15"/>
        <v>626.89</v>
      </c>
      <c r="W50" s="127">
        <f t="shared" si="5"/>
        <v>7522.68</v>
      </c>
      <c r="X50" s="115">
        <f t="shared" si="17"/>
        <v>30090.720000000001</v>
      </c>
      <c r="Y50" s="183">
        <f t="shared" si="18"/>
        <v>6268.9</v>
      </c>
      <c r="Z50" s="184"/>
      <c r="AA50" s="185">
        <f t="shared" si="20"/>
        <v>4388.2299999999996</v>
      </c>
      <c r="AB50" s="186">
        <f t="shared" si="19"/>
        <v>40747.850000000006</v>
      </c>
      <c r="AC50" s="156"/>
      <c r="AD50" s="163"/>
      <c r="AE50" s="121"/>
      <c r="AF50" s="121"/>
    </row>
    <row r="51" spans="1:32" ht="15.75" customHeight="1" thickBot="1" x14ac:dyDescent="0.25">
      <c r="A51" s="72"/>
      <c r="B51" s="116" t="s">
        <v>72</v>
      </c>
      <c r="C51" s="72"/>
      <c r="D51" s="117"/>
      <c r="E51" s="117"/>
      <c r="F51" s="117"/>
      <c r="G51" s="117">
        <f t="shared" ref="G51:AB51" si="21">SUM(G47:G50)</f>
        <v>5.5</v>
      </c>
      <c r="H51" s="133">
        <f t="shared" si="21"/>
        <v>38059.449999999997</v>
      </c>
      <c r="I51" s="134"/>
      <c r="J51" s="133">
        <f t="shared" si="21"/>
        <v>7056.61</v>
      </c>
      <c r="K51" s="134"/>
      <c r="L51" s="133">
        <f t="shared" si="21"/>
        <v>0</v>
      </c>
      <c r="M51" s="134"/>
      <c r="N51" s="118">
        <f t="shared" si="21"/>
        <v>0</v>
      </c>
      <c r="O51" s="118"/>
      <c r="P51" s="118">
        <f t="shared" si="21"/>
        <v>0</v>
      </c>
      <c r="Q51" s="118"/>
      <c r="R51" s="118">
        <f t="shared" si="21"/>
        <v>0</v>
      </c>
      <c r="S51" s="118"/>
      <c r="T51" s="118">
        <f t="shared" si="21"/>
        <v>0</v>
      </c>
      <c r="U51" s="118"/>
      <c r="V51" s="120">
        <f t="shared" si="21"/>
        <v>3805.9450000000002</v>
      </c>
      <c r="W51" s="120">
        <f t="shared" si="21"/>
        <v>48922.004999999997</v>
      </c>
      <c r="X51" s="161">
        <f t="shared" si="21"/>
        <v>195688.02</v>
      </c>
      <c r="Y51" s="161">
        <f t="shared" si="21"/>
        <v>38059.449999999997</v>
      </c>
      <c r="Z51" s="161">
        <f t="shared" si="21"/>
        <v>0</v>
      </c>
      <c r="AA51" s="161">
        <f t="shared" si="21"/>
        <v>26252.524999999998</v>
      </c>
      <c r="AB51" s="161">
        <f t="shared" si="21"/>
        <v>259999.99499999997</v>
      </c>
      <c r="AC51" s="145"/>
      <c r="AD51" s="163"/>
      <c r="AE51" s="121"/>
      <c r="AF51" s="121"/>
    </row>
    <row r="52" spans="1:32" ht="16.5" customHeight="1" thickBot="1" x14ac:dyDescent="0.25">
      <c r="A52" s="72"/>
      <c r="B52" s="116" t="s">
        <v>5</v>
      </c>
      <c r="C52" s="72"/>
      <c r="D52" s="117"/>
      <c r="E52" s="117"/>
      <c r="F52" s="117"/>
      <c r="G52" s="117">
        <f t="shared" ref="G52:AA52" si="22">G45+G51</f>
        <v>63.440000000000012</v>
      </c>
      <c r="H52" s="133">
        <f t="shared" si="22"/>
        <v>439919.83200000005</v>
      </c>
      <c r="I52" s="134"/>
      <c r="J52" s="133">
        <f t="shared" si="22"/>
        <v>82796.132099999988</v>
      </c>
      <c r="K52" s="134"/>
      <c r="L52" s="133">
        <f t="shared" si="22"/>
        <v>4773.45</v>
      </c>
      <c r="M52" s="134"/>
      <c r="N52" s="117">
        <f t="shared" si="22"/>
        <v>3487.8173000000006</v>
      </c>
      <c r="O52" s="117"/>
      <c r="P52" s="117">
        <f t="shared" si="22"/>
        <v>44863.417500000003</v>
      </c>
      <c r="Q52" s="117">
        <f t="shared" si="22"/>
        <v>0</v>
      </c>
      <c r="R52" s="117">
        <f t="shared" si="22"/>
        <v>38185.517700000004</v>
      </c>
      <c r="S52" s="117">
        <f t="shared" si="22"/>
        <v>0</v>
      </c>
      <c r="T52" s="117">
        <f t="shared" si="22"/>
        <v>1987.4844000000003</v>
      </c>
      <c r="U52" s="117">
        <f t="shared" si="22"/>
        <v>0</v>
      </c>
      <c r="V52" s="120">
        <f t="shared" si="22"/>
        <v>43991.983199999988</v>
      </c>
      <c r="W52" s="120">
        <f t="shared" si="22"/>
        <v>660005.63420000009</v>
      </c>
      <c r="X52" s="120">
        <f t="shared" si="22"/>
        <v>2640022.5368000004</v>
      </c>
      <c r="Y52" s="120">
        <f t="shared" si="22"/>
        <v>339454.73650000006</v>
      </c>
      <c r="Z52" s="120"/>
      <c r="AA52" s="120">
        <f t="shared" si="22"/>
        <v>50522.735000000001</v>
      </c>
      <c r="AB52" s="161">
        <f>AB45+AB51</f>
        <v>3029999.9983000006</v>
      </c>
      <c r="AC52" s="121"/>
      <c r="AD52" s="164"/>
    </row>
    <row r="53" spans="1:32" ht="18.75" customHeight="1" x14ac:dyDescent="0.2">
      <c r="A53" s="15"/>
      <c r="B53" s="23"/>
      <c r="C53" s="16"/>
      <c r="D53" s="16"/>
      <c r="E53" s="16"/>
      <c r="F53" s="97"/>
      <c r="G53" s="21"/>
      <c r="H53" s="135"/>
      <c r="I53" s="136"/>
      <c r="J53" s="135"/>
      <c r="K53" s="136"/>
      <c r="L53" s="135"/>
      <c r="M53" s="137"/>
      <c r="N53" s="99"/>
      <c r="O53" s="99"/>
      <c r="P53" s="99"/>
      <c r="Q53" s="99"/>
      <c r="R53" s="99"/>
      <c r="S53" s="99"/>
      <c r="T53" s="14"/>
      <c r="U53" s="17"/>
      <c r="V53" s="138"/>
      <c r="W53" s="139"/>
      <c r="X53" s="140"/>
      <c r="AA53" s="159" t="s">
        <v>77</v>
      </c>
      <c r="AB53" s="162">
        <f>AB52*0.22</f>
        <v>666599.99962600018</v>
      </c>
    </row>
    <row r="54" spans="1:32" ht="13.5" customHeight="1" x14ac:dyDescent="0.2">
      <c r="A54" s="15"/>
      <c r="B54" s="16"/>
      <c r="C54" s="16"/>
      <c r="D54" s="16"/>
      <c r="E54" s="16"/>
      <c r="F54" s="63"/>
      <c r="G54" s="21"/>
      <c r="H54" s="22"/>
      <c r="I54" s="24"/>
      <c r="J54" s="22"/>
      <c r="K54" s="24"/>
      <c r="L54" s="289"/>
      <c r="M54" s="289"/>
      <c r="N54" s="289"/>
      <c r="O54" s="289"/>
      <c r="P54" s="289"/>
      <c r="Q54" s="289"/>
      <c r="R54" s="289"/>
      <c r="S54" s="289"/>
      <c r="T54" s="22"/>
      <c r="U54" s="17"/>
      <c r="V54" s="14"/>
      <c r="W54" s="61"/>
      <c r="AA54" s="160" t="s">
        <v>78</v>
      </c>
      <c r="AB54" s="162">
        <f>SUM(AB52:AB53)</f>
        <v>3696599.9979260005</v>
      </c>
    </row>
    <row r="55" spans="1:32" ht="42.75" hidden="1" customHeight="1" x14ac:dyDescent="0.2">
      <c r="A55" s="290"/>
      <c r="B55" s="290"/>
      <c r="C55" s="290"/>
      <c r="D55" s="249"/>
      <c r="E55" s="249"/>
      <c r="F55" s="64"/>
      <c r="G55" s="25"/>
      <c r="H55" s="25"/>
      <c r="I55" s="25"/>
      <c r="L55" s="289"/>
      <c r="M55" s="289"/>
      <c r="N55" s="289"/>
      <c r="O55" s="289"/>
      <c r="P55" s="289"/>
      <c r="Q55" s="289"/>
      <c r="R55" s="289"/>
      <c r="S55" s="289"/>
    </row>
    <row r="56" spans="1:32" ht="20.25" customHeight="1" x14ac:dyDescent="0.2">
      <c r="A56" s="285" t="s">
        <v>4</v>
      </c>
      <c r="B56" s="285"/>
      <c r="C56" s="248"/>
      <c r="D56" s="248"/>
      <c r="E56" s="248"/>
      <c r="H56" s="248"/>
      <c r="I56" s="248"/>
      <c r="J56" s="26"/>
      <c r="K56" s="248"/>
      <c r="L56" s="34" t="s">
        <v>104</v>
      </c>
      <c r="M56" s="251"/>
      <c r="N56" s="251"/>
      <c r="O56" s="251"/>
      <c r="P56" s="251"/>
      <c r="Q56" s="251"/>
      <c r="R56" s="251"/>
      <c r="S56" s="100"/>
      <c r="T56" s="3"/>
      <c r="AB56" s="114"/>
    </row>
    <row r="57" spans="1:32" x14ac:dyDescent="0.2">
      <c r="B57" s="26"/>
      <c r="C57" s="248"/>
      <c r="D57" s="248"/>
      <c r="E57" s="248"/>
      <c r="F57" s="65"/>
      <c r="G57" s="167"/>
      <c r="H57" s="248"/>
      <c r="I57" s="248"/>
      <c r="J57" s="248"/>
      <c r="K57" s="248"/>
      <c r="L57" s="251"/>
      <c r="M57" s="251"/>
      <c r="N57" s="251"/>
      <c r="O57" s="251"/>
      <c r="P57" s="251"/>
      <c r="Q57" s="251"/>
      <c r="R57" s="251"/>
      <c r="S57" s="100"/>
    </row>
    <row r="58" spans="1:32" x14ac:dyDescent="0.2">
      <c r="F58" s="65"/>
      <c r="G58" s="167"/>
      <c r="H58" s="25"/>
      <c r="I58" s="25"/>
    </row>
    <row r="59" spans="1:32" x14ac:dyDescent="0.2">
      <c r="F59" s="64"/>
      <c r="G59" s="168"/>
      <c r="H59" s="25"/>
      <c r="I59" s="25"/>
    </row>
    <row r="60" spans="1:32" x14ac:dyDescent="0.2">
      <c r="F60" s="64"/>
      <c r="G60" s="169"/>
      <c r="H60" s="25"/>
      <c r="I60" s="25"/>
    </row>
    <row r="61" spans="1:32" x14ac:dyDescent="0.2">
      <c r="F61" s="64"/>
      <c r="G61" s="168"/>
      <c r="H61" s="25"/>
      <c r="I61" s="25"/>
    </row>
    <row r="62" spans="1:32" x14ac:dyDescent="0.2">
      <c r="F62" s="64"/>
      <c r="G62" s="25"/>
      <c r="H62" s="25"/>
      <c r="I62" s="25"/>
    </row>
    <row r="63" spans="1:32" x14ac:dyDescent="0.2">
      <c r="F63" s="64"/>
      <c r="G63" s="25"/>
      <c r="H63" s="25"/>
      <c r="I63" s="25"/>
    </row>
    <row r="64" spans="1:32" x14ac:dyDescent="0.2">
      <c r="F64" s="64"/>
      <c r="G64" s="25"/>
      <c r="H64" s="25"/>
      <c r="I64" s="25"/>
    </row>
    <row r="65" spans="1:9" x14ac:dyDescent="0.2">
      <c r="F65" s="64"/>
      <c r="G65" s="25"/>
      <c r="H65" s="25"/>
      <c r="I65" s="25"/>
    </row>
    <row r="66" spans="1:9" x14ac:dyDescent="0.2">
      <c r="F66" s="64"/>
      <c r="G66" s="25"/>
      <c r="H66" s="25"/>
      <c r="I66" s="25"/>
    </row>
    <row r="67" spans="1:9" x14ac:dyDescent="0.2">
      <c r="F67" s="64"/>
      <c r="G67" s="25"/>
      <c r="H67" s="25"/>
      <c r="I67" s="25"/>
    </row>
    <row r="68" spans="1:9" x14ac:dyDescent="0.2">
      <c r="F68" s="64"/>
      <c r="G68" s="25"/>
      <c r="H68" s="25"/>
      <c r="I68" s="25"/>
    </row>
    <row r="69" spans="1:9" x14ac:dyDescent="0.2">
      <c r="F69" s="64"/>
      <c r="G69" s="25"/>
      <c r="H69" s="25"/>
      <c r="I69" s="25"/>
    </row>
    <row r="70" spans="1:9" x14ac:dyDescent="0.2">
      <c r="F70" s="64"/>
      <c r="G70" s="25"/>
      <c r="H70" s="25"/>
      <c r="I70" s="25"/>
    </row>
    <row r="71" spans="1:9" x14ac:dyDescent="0.2">
      <c r="A71" s="27"/>
      <c r="B71" s="28"/>
      <c r="C71" s="252"/>
      <c r="D71" s="252"/>
      <c r="E71" s="252"/>
      <c r="F71" s="66"/>
      <c r="G71" s="25"/>
      <c r="H71" s="25"/>
      <c r="I71" s="25"/>
    </row>
    <row r="72" spans="1:9" x14ac:dyDescent="0.2">
      <c r="A72" s="27"/>
      <c r="B72" s="7"/>
      <c r="C72" s="252"/>
      <c r="D72" s="252"/>
      <c r="E72" s="252"/>
      <c r="F72" s="66"/>
      <c r="G72" s="25"/>
      <c r="H72" s="25"/>
      <c r="I72" s="25"/>
    </row>
    <row r="73" spans="1:9" x14ac:dyDescent="0.2">
      <c r="A73" s="27"/>
      <c r="B73" s="7"/>
      <c r="C73" s="252"/>
      <c r="D73" s="252"/>
      <c r="E73" s="252"/>
      <c r="F73" s="66"/>
      <c r="G73" s="25"/>
      <c r="H73" s="25"/>
      <c r="I73" s="25"/>
    </row>
    <row r="74" spans="1:9" x14ac:dyDescent="0.2">
      <c r="A74" s="27"/>
      <c r="B74" s="7"/>
      <c r="C74" s="252"/>
      <c r="D74" s="252"/>
      <c r="E74" s="252"/>
      <c r="F74" s="66"/>
      <c r="G74" s="25"/>
      <c r="H74" s="25"/>
      <c r="I74" s="25"/>
    </row>
    <row r="75" spans="1:9" x14ac:dyDescent="0.2">
      <c r="A75" s="27"/>
      <c r="B75" s="7"/>
      <c r="C75" s="252"/>
      <c r="D75" s="252"/>
      <c r="E75" s="252"/>
      <c r="F75" s="66"/>
      <c r="G75" s="25"/>
      <c r="H75" s="25"/>
      <c r="I75" s="25"/>
    </row>
    <row r="76" spans="1:9" x14ac:dyDescent="0.2">
      <c r="A76" s="27"/>
      <c r="B76" s="7"/>
      <c r="C76" s="252"/>
      <c r="D76" s="252"/>
      <c r="E76" s="252"/>
      <c r="F76" s="66"/>
      <c r="G76" s="25"/>
      <c r="H76" s="25"/>
      <c r="I76" s="25"/>
    </row>
    <row r="77" spans="1:9" x14ac:dyDescent="0.2">
      <c r="A77" s="27"/>
      <c r="B77" s="7"/>
      <c r="C77" s="252"/>
      <c r="D77" s="252"/>
      <c r="E77" s="252"/>
      <c r="F77" s="66"/>
      <c r="G77" s="25"/>
      <c r="H77" s="25"/>
      <c r="I77" s="25"/>
    </row>
    <row r="78" spans="1:9" x14ac:dyDescent="0.2">
      <c r="A78" s="27"/>
      <c r="B78" s="7"/>
      <c r="C78" s="252"/>
      <c r="D78" s="252"/>
      <c r="E78" s="252"/>
      <c r="F78" s="66"/>
      <c r="G78" s="25"/>
      <c r="H78" s="25"/>
      <c r="I78" s="25"/>
    </row>
    <row r="79" spans="1:9" x14ac:dyDescent="0.2">
      <c r="A79" s="27"/>
      <c r="B79" s="7"/>
      <c r="C79" s="252"/>
      <c r="D79" s="252"/>
      <c r="E79" s="252"/>
      <c r="F79" s="66"/>
      <c r="G79" s="25"/>
      <c r="H79" s="25"/>
      <c r="I79" s="25"/>
    </row>
    <row r="80" spans="1:9" x14ac:dyDescent="0.2">
      <c r="A80" s="27"/>
      <c r="B80" s="7"/>
      <c r="C80" s="252"/>
      <c r="D80" s="252"/>
      <c r="E80" s="252"/>
      <c r="F80" s="66"/>
      <c r="G80" s="25"/>
      <c r="H80" s="25"/>
      <c r="I80" s="25"/>
    </row>
    <row r="81" spans="1:9" x14ac:dyDescent="0.2">
      <c r="A81" s="27"/>
      <c r="B81" s="7"/>
      <c r="C81" s="252"/>
      <c r="D81" s="252"/>
      <c r="E81" s="252"/>
      <c r="F81" s="66"/>
      <c r="G81" s="25"/>
      <c r="H81" s="25"/>
      <c r="I81" s="25"/>
    </row>
    <row r="82" spans="1:9" x14ac:dyDescent="0.2">
      <c r="A82" s="27"/>
      <c r="B82" s="7"/>
      <c r="C82" s="252"/>
      <c r="D82" s="252"/>
      <c r="E82" s="252"/>
      <c r="F82" s="66"/>
      <c r="G82" s="25"/>
      <c r="H82" s="25"/>
      <c r="I82" s="25"/>
    </row>
    <row r="83" spans="1:9" x14ac:dyDescent="0.2">
      <c r="A83" s="27"/>
      <c r="B83" s="7"/>
      <c r="C83" s="252"/>
      <c r="D83" s="252"/>
      <c r="E83" s="252"/>
      <c r="F83" s="66"/>
      <c r="G83" s="25"/>
      <c r="H83" s="25"/>
      <c r="I83" s="25"/>
    </row>
    <row r="84" spans="1:9" x14ac:dyDescent="0.2">
      <c r="A84" s="27"/>
      <c r="B84" s="7"/>
      <c r="C84" s="252"/>
      <c r="D84" s="252"/>
      <c r="E84" s="252"/>
      <c r="F84" s="66"/>
      <c r="G84" s="25"/>
      <c r="H84" s="25"/>
      <c r="I84" s="25"/>
    </row>
    <row r="85" spans="1:9" x14ac:dyDescent="0.2">
      <c r="A85" s="27"/>
      <c r="B85" s="8"/>
      <c r="C85" s="252"/>
      <c r="D85" s="252"/>
      <c r="E85" s="252"/>
      <c r="F85" s="66"/>
      <c r="G85" s="25"/>
      <c r="H85" s="25"/>
      <c r="I85" s="25"/>
    </row>
    <row r="86" spans="1:9" x14ac:dyDescent="0.2">
      <c r="A86" s="27"/>
      <c r="B86" s="7"/>
      <c r="C86" s="252"/>
      <c r="D86" s="252"/>
      <c r="E86" s="252"/>
      <c r="F86" s="66"/>
      <c r="G86" s="25"/>
      <c r="H86" s="25"/>
      <c r="I86" s="25"/>
    </row>
    <row r="87" spans="1:9" x14ac:dyDescent="0.2">
      <c r="A87" s="27"/>
      <c r="B87" s="7"/>
      <c r="C87" s="252"/>
      <c r="D87" s="252"/>
      <c r="E87" s="252"/>
      <c r="F87" s="66"/>
      <c r="G87" s="25"/>
      <c r="H87" s="25"/>
      <c r="I87" s="25"/>
    </row>
    <row r="88" spans="1:9" x14ac:dyDescent="0.2">
      <c r="A88" s="27"/>
      <c r="B88" s="7"/>
      <c r="C88" s="252"/>
      <c r="D88" s="252"/>
      <c r="E88" s="252"/>
      <c r="F88" s="66"/>
      <c r="G88" s="25"/>
      <c r="H88" s="25"/>
      <c r="I88" s="25"/>
    </row>
    <row r="89" spans="1:9" x14ac:dyDescent="0.2">
      <c r="A89" s="27"/>
      <c r="B89" s="7"/>
      <c r="C89" s="252"/>
      <c r="D89" s="252"/>
      <c r="E89" s="252"/>
      <c r="F89" s="66"/>
      <c r="G89" s="25"/>
      <c r="H89" s="25"/>
      <c r="I89" s="25"/>
    </row>
    <row r="90" spans="1:9" x14ac:dyDescent="0.2">
      <c r="A90" s="27"/>
      <c r="B90" s="7"/>
      <c r="C90" s="252"/>
      <c r="D90" s="252"/>
      <c r="E90" s="252"/>
      <c r="F90" s="66"/>
      <c r="G90" s="25"/>
      <c r="H90" s="25"/>
      <c r="I90" s="25"/>
    </row>
    <row r="91" spans="1:9" x14ac:dyDescent="0.2">
      <c r="A91" s="27"/>
      <c r="B91" s="7"/>
      <c r="C91" s="252"/>
      <c r="D91" s="252"/>
      <c r="E91" s="252"/>
      <c r="F91" s="66"/>
      <c r="G91" s="25"/>
      <c r="H91" s="25"/>
      <c r="I91" s="25"/>
    </row>
    <row r="92" spans="1:9" x14ac:dyDescent="0.2">
      <c r="A92" s="27"/>
      <c r="B92" s="7"/>
      <c r="C92" s="252"/>
      <c r="D92" s="252"/>
      <c r="E92" s="252"/>
      <c r="F92" s="66"/>
      <c r="G92" s="25"/>
      <c r="H92" s="25"/>
      <c r="I92" s="25"/>
    </row>
    <row r="93" spans="1:9" x14ac:dyDescent="0.2">
      <c r="A93" s="27"/>
      <c r="B93" s="7"/>
      <c r="C93" s="252"/>
      <c r="D93" s="252"/>
      <c r="E93" s="252"/>
      <c r="F93" s="66"/>
      <c r="G93" s="25"/>
      <c r="H93" s="25"/>
      <c r="I93" s="25"/>
    </row>
    <row r="94" spans="1:9" x14ac:dyDescent="0.2">
      <c r="A94" s="27"/>
      <c r="B94" s="7"/>
      <c r="C94" s="252"/>
      <c r="D94" s="252"/>
      <c r="E94" s="252"/>
      <c r="F94" s="66"/>
      <c r="G94" s="25"/>
      <c r="H94" s="25"/>
      <c r="I94" s="25"/>
    </row>
    <row r="95" spans="1:9" x14ac:dyDescent="0.2">
      <c r="A95" s="27"/>
      <c r="B95" s="7"/>
      <c r="C95" s="252"/>
      <c r="D95" s="252"/>
      <c r="E95" s="252"/>
      <c r="F95" s="66"/>
      <c r="G95" s="25"/>
      <c r="H95" s="25"/>
      <c r="I95" s="25"/>
    </row>
    <row r="96" spans="1:9" x14ac:dyDescent="0.2">
      <c r="A96" s="27"/>
      <c r="B96" s="7"/>
      <c r="C96" s="252"/>
      <c r="D96" s="252"/>
      <c r="E96" s="252"/>
      <c r="F96" s="66"/>
      <c r="G96" s="25"/>
      <c r="H96" s="25"/>
      <c r="I96" s="25"/>
    </row>
    <row r="97" spans="1:9" x14ac:dyDescent="0.2">
      <c r="A97" s="27"/>
      <c r="B97" s="7"/>
      <c r="C97" s="252"/>
      <c r="D97" s="252"/>
      <c r="E97" s="252"/>
      <c r="F97" s="66"/>
      <c r="G97" s="25"/>
      <c r="H97" s="25"/>
      <c r="I97" s="25"/>
    </row>
    <row r="98" spans="1:9" x14ac:dyDescent="0.2">
      <c r="A98" s="27"/>
      <c r="B98" s="9"/>
      <c r="C98" s="252"/>
      <c r="D98" s="252"/>
      <c r="E98" s="252"/>
      <c r="F98" s="66"/>
      <c r="G98" s="25"/>
      <c r="H98" s="25"/>
      <c r="I98" s="25"/>
    </row>
    <row r="99" spans="1:9" x14ac:dyDescent="0.2">
      <c r="A99" s="27"/>
      <c r="B99" s="9"/>
      <c r="C99" s="252"/>
      <c r="D99" s="252"/>
      <c r="E99" s="252"/>
      <c r="F99" s="66"/>
      <c r="G99" s="25"/>
      <c r="H99" s="25"/>
      <c r="I99" s="25"/>
    </row>
    <row r="100" spans="1:9" x14ac:dyDescent="0.2">
      <c r="A100" s="27"/>
      <c r="B100" s="10"/>
      <c r="C100" s="252"/>
      <c r="D100" s="252"/>
      <c r="E100" s="252"/>
      <c r="F100" s="66"/>
      <c r="G100" s="25"/>
      <c r="H100" s="25"/>
      <c r="I100" s="25"/>
    </row>
    <row r="101" spans="1:9" x14ac:dyDescent="0.2">
      <c r="A101" s="27"/>
      <c r="B101" s="7"/>
      <c r="C101" s="252"/>
      <c r="D101" s="252"/>
      <c r="E101" s="252"/>
      <c r="F101" s="66"/>
      <c r="G101" s="25"/>
      <c r="H101" s="25"/>
      <c r="I101" s="25"/>
    </row>
    <row r="102" spans="1:9" x14ac:dyDescent="0.2">
      <c r="A102" s="27"/>
      <c r="B102" s="7"/>
      <c r="C102" s="252"/>
      <c r="D102" s="252"/>
      <c r="E102" s="252"/>
      <c r="F102" s="66"/>
      <c r="G102" s="25"/>
      <c r="H102" s="25"/>
      <c r="I102" s="25"/>
    </row>
    <row r="103" spans="1:9" x14ac:dyDescent="0.2">
      <c r="A103" s="27"/>
      <c r="B103" s="7"/>
      <c r="C103" s="252"/>
      <c r="D103" s="252"/>
      <c r="E103" s="252"/>
      <c r="F103" s="66"/>
      <c r="G103" s="25"/>
      <c r="H103" s="25"/>
      <c r="I103" s="25"/>
    </row>
    <row r="104" spans="1:9" x14ac:dyDescent="0.2">
      <c r="A104" s="27"/>
      <c r="B104" s="7"/>
      <c r="C104" s="252"/>
      <c r="D104" s="252"/>
      <c r="E104" s="252"/>
      <c r="F104" s="67"/>
    </row>
    <row r="105" spans="1:9" x14ac:dyDescent="0.2">
      <c r="A105" s="27"/>
      <c r="B105" s="7"/>
      <c r="C105" s="252"/>
      <c r="D105" s="252"/>
      <c r="E105" s="252"/>
      <c r="F105" s="67"/>
    </row>
    <row r="106" spans="1:9" x14ac:dyDescent="0.2">
      <c r="A106" s="27"/>
      <c r="B106" s="7"/>
      <c r="C106" s="252"/>
      <c r="D106" s="252"/>
      <c r="E106" s="252"/>
      <c r="F106" s="67"/>
    </row>
    <row r="107" spans="1:9" x14ac:dyDescent="0.2">
      <c r="A107" s="27"/>
      <c r="B107" s="7"/>
      <c r="C107" s="252"/>
      <c r="D107" s="252"/>
      <c r="E107" s="252"/>
      <c r="F107" s="67"/>
    </row>
    <row r="108" spans="1:9" x14ac:dyDescent="0.2">
      <c r="A108" s="27"/>
      <c r="B108" s="11"/>
      <c r="C108" s="252"/>
      <c r="D108" s="252"/>
      <c r="E108" s="252"/>
      <c r="F108" s="67"/>
    </row>
    <row r="109" spans="1:9" x14ac:dyDescent="0.2">
      <c r="A109" s="27"/>
      <c r="B109" s="7"/>
      <c r="C109" s="252"/>
      <c r="D109" s="252"/>
      <c r="E109" s="252"/>
      <c r="F109" s="67"/>
    </row>
    <row r="110" spans="1:9" x14ac:dyDescent="0.2">
      <c r="A110" s="27"/>
      <c r="B110" s="10"/>
      <c r="C110" s="252"/>
      <c r="D110" s="252"/>
      <c r="E110" s="252"/>
      <c r="F110" s="67"/>
    </row>
    <row r="111" spans="1:9" x14ac:dyDescent="0.2">
      <c r="A111" s="27"/>
      <c r="B111" s="12"/>
      <c r="C111" s="252"/>
      <c r="D111" s="252"/>
      <c r="E111" s="252"/>
      <c r="F111" s="67"/>
    </row>
    <row r="112" spans="1:9" x14ac:dyDescent="0.2">
      <c r="A112" s="27"/>
      <c r="B112" s="12"/>
      <c r="C112" s="252"/>
      <c r="D112" s="252"/>
      <c r="E112" s="252"/>
      <c r="F112" s="67"/>
    </row>
    <row r="113" spans="1:6" x14ac:dyDescent="0.2">
      <c r="A113" s="27"/>
      <c r="B113" s="10"/>
      <c r="C113" s="252"/>
      <c r="D113" s="252"/>
      <c r="E113" s="252"/>
      <c r="F113" s="67"/>
    </row>
    <row r="114" spans="1:6" x14ac:dyDescent="0.2">
      <c r="A114" s="27"/>
      <c r="B114" s="7"/>
      <c r="C114" s="252"/>
      <c r="D114" s="252"/>
      <c r="E114" s="252"/>
      <c r="F114" s="67"/>
    </row>
    <row r="115" spans="1:6" x14ac:dyDescent="0.2">
      <c r="A115" s="27"/>
      <c r="B115" s="7"/>
      <c r="C115" s="252"/>
      <c r="D115" s="252"/>
      <c r="E115" s="252"/>
      <c r="F115" s="67"/>
    </row>
    <row r="116" spans="1:6" x14ac:dyDescent="0.2">
      <c r="A116" s="27"/>
      <c r="B116" s="13"/>
      <c r="C116" s="252"/>
      <c r="D116" s="252"/>
      <c r="E116" s="252"/>
      <c r="F116" s="67"/>
    </row>
    <row r="117" spans="1:6" x14ac:dyDescent="0.2">
      <c r="A117" s="27"/>
      <c r="B117" s="28"/>
      <c r="C117" s="252"/>
      <c r="D117" s="252"/>
      <c r="E117" s="252"/>
      <c r="F117" s="67"/>
    </row>
    <row r="118" spans="1:6" x14ac:dyDescent="0.2">
      <c r="A118" s="27"/>
      <c r="B118" s="28"/>
      <c r="C118" s="252"/>
      <c r="D118" s="252"/>
      <c r="E118" s="252"/>
      <c r="F118" s="67"/>
    </row>
    <row r="119" spans="1:6" x14ac:dyDescent="0.2">
      <c r="A119" s="27"/>
      <c r="B119" s="28"/>
      <c r="C119" s="252"/>
      <c r="D119" s="252"/>
      <c r="E119" s="252"/>
      <c r="F119" s="67"/>
    </row>
    <row r="120" spans="1:6" x14ac:dyDescent="0.2">
      <c r="A120" s="27"/>
      <c r="B120" s="28"/>
      <c r="C120" s="252"/>
      <c r="D120" s="252"/>
      <c r="E120" s="252"/>
      <c r="F120" s="67"/>
    </row>
    <row r="121" spans="1:6" x14ac:dyDescent="0.2">
      <c r="A121" s="27"/>
      <c r="B121" s="28"/>
      <c r="C121" s="252"/>
      <c r="D121" s="252"/>
      <c r="E121" s="252"/>
      <c r="F121" s="67"/>
    </row>
  </sheetData>
  <mergeCells count="29">
    <mergeCell ref="X3:AB3"/>
    <mergeCell ref="A7:X7"/>
    <mergeCell ref="A8:A9"/>
    <mergeCell ref="B8:B9"/>
    <mergeCell ref="C8:C9"/>
    <mergeCell ref="D8:D9"/>
    <mergeCell ref="E8:E9"/>
    <mergeCell ref="F8:F9"/>
    <mergeCell ref="K8:L8"/>
    <mergeCell ref="M8:N8"/>
    <mergeCell ref="O8:P8"/>
    <mergeCell ref="AB8:AB9"/>
    <mergeCell ref="I8:J8"/>
    <mergeCell ref="V2:W2"/>
    <mergeCell ref="R3:U3"/>
    <mergeCell ref="A56:B56"/>
    <mergeCell ref="Z8:Z9"/>
    <mergeCell ref="AA8:AA9"/>
    <mergeCell ref="L54:S54"/>
    <mergeCell ref="A55:C55"/>
    <mergeCell ref="L55:S55"/>
    <mergeCell ref="Q8:R8"/>
    <mergeCell ref="S8:T8"/>
    <mergeCell ref="U8:V8"/>
    <mergeCell ref="W8:W9"/>
    <mergeCell ref="X8:X9"/>
    <mergeCell ref="Y8:Y9"/>
    <mergeCell ref="G8:G9"/>
    <mergeCell ref="H8:H9"/>
  </mergeCells>
  <printOptions horizontalCentered="1"/>
  <pageMargins left="3.937007874015748E-2" right="0.19685039370078741" top="0.15748031496062992" bottom="0.35433070866141736" header="0.31496062992125984" footer="0.31496062992125984"/>
  <pageSetup paperSize="9" scale="59" orientation="landscape" r:id="rId1"/>
  <headerFooter scaleWithDoc="0"/>
  <colBreaks count="1" manualBreakCount="1">
    <brk id="2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topLeftCell="A2" zoomScaleNormal="100" workbookViewId="0">
      <selection activeCell="V3" sqref="V3:Z3"/>
    </sheetView>
  </sheetViews>
  <sheetFormatPr defaultColWidth="9.140625" defaultRowHeight="12.75" x14ac:dyDescent="0.2"/>
  <cols>
    <col min="1" max="1" width="2.7109375" style="5" customWidth="1"/>
    <col min="2" max="2" width="30.42578125" style="4" customWidth="1"/>
    <col min="3" max="3" width="4" style="3" customWidth="1"/>
    <col min="4" max="4" width="7.140625" style="3" customWidth="1"/>
    <col min="5" max="5" width="4.7109375" style="3" customWidth="1"/>
    <col min="6" max="6" width="9" style="4" customWidth="1"/>
    <col min="7" max="7" width="4" style="4" customWidth="1"/>
    <col min="8" max="8" width="7.140625" style="35" customWidth="1"/>
    <col min="9" max="9" width="4.85546875" style="50" customWidth="1"/>
    <col min="10" max="10" width="9.85546875" style="4" customWidth="1"/>
    <col min="11" max="11" width="4" style="50" customWidth="1"/>
    <col min="12" max="12" width="7" style="4" customWidth="1"/>
    <col min="13" max="13" width="4.28515625" style="4" customWidth="1"/>
    <col min="14" max="14" width="8.140625" style="4" customWidth="1"/>
    <col min="15" max="15" width="4.85546875" style="4" customWidth="1"/>
    <col min="16" max="16" width="7.7109375" style="4" customWidth="1"/>
    <col min="17" max="17" width="5.7109375" style="4" customWidth="1"/>
    <col min="18" max="18" width="6.85546875" style="4" customWidth="1"/>
    <col min="19" max="19" width="6" style="4" customWidth="1"/>
    <col min="20" max="20" width="6.85546875" style="4" customWidth="1"/>
    <col min="21" max="21" width="9.85546875" style="4" customWidth="1"/>
    <col min="22" max="22" width="11.42578125" style="48" customWidth="1"/>
    <col min="23" max="23" width="9.85546875" style="35" bestFit="1" customWidth="1"/>
    <col min="24" max="24" width="9.85546875" style="35" customWidth="1"/>
    <col min="25" max="25" width="8.5703125" style="4" customWidth="1"/>
    <col min="26" max="26" width="10.42578125" style="4" customWidth="1"/>
    <col min="27" max="27" width="8.42578125" style="4" customWidth="1"/>
    <col min="28" max="16384" width="9.140625" style="4"/>
  </cols>
  <sheetData>
    <row r="1" spans="1:27" ht="12.75" hidden="1" customHeight="1" x14ac:dyDescent="0.2">
      <c r="O1" s="170" t="s">
        <v>38</v>
      </c>
      <c r="P1" s="170"/>
      <c r="Q1" s="170"/>
      <c r="R1" s="170"/>
      <c r="S1" s="170"/>
      <c r="T1" s="170"/>
      <c r="U1" s="170"/>
      <c r="V1" s="170"/>
      <c r="W1" s="170"/>
      <c r="X1" s="170"/>
    </row>
    <row r="2" spans="1:27" ht="12.75" customHeight="1" x14ac:dyDescent="0.2">
      <c r="O2" s="170"/>
      <c r="P2" s="170"/>
      <c r="Q2" s="170"/>
      <c r="R2" s="170"/>
      <c r="S2" s="170"/>
      <c r="T2" s="170"/>
      <c r="V2" s="179" t="s">
        <v>125</v>
      </c>
      <c r="W2" s="179"/>
      <c r="X2" s="179"/>
      <c r="Y2" s="1"/>
      <c r="Z2" s="1"/>
    </row>
    <row r="3" spans="1:27" x14ac:dyDescent="0.2">
      <c r="V3" s="302" t="s">
        <v>130</v>
      </c>
      <c r="W3" s="302"/>
      <c r="X3" s="302"/>
      <c r="Y3" s="303"/>
      <c r="Z3" s="303"/>
    </row>
    <row r="4" spans="1:27" ht="50.25" customHeight="1" thickBot="1" x14ac:dyDescent="0.25">
      <c r="A4" s="304" t="s">
        <v>108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</row>
    <row r="5" spans="1:27" ht="18" customHeight="1" thickBot="1" x14ac:dyDescent="0.25">
      <c r="A5" s="30"/>
      <c r="B5" s="30"/>
      <c r="C5" s="30"/>
      <c r="D5" s="30"/>
      <c r="E5" s="30"/>
      <c r="F5" s="30"/>
      <c r="G5" s="30"/>
      <c r="H5" s="32"/>
      <c r="I5" s="51"/>
      <c r="J5" s="31"/>
      <c r="K5" s="54"/>
      <c r="L5" s="31"/>
      <c r="M5" s="31"/>
      <c r="N5" s="31"/>
      <c r="O5" s="31"/>
      <c r="P5" s="31"/>
      <c r="Q5" s="31"/>
      <c r="R5" s="31"/>
      <c r="S5" s="31"/>
      <c r="T5" s="31"/>
      <c r="U5" s="31"/>
      <c r="V5" s="49"/>
    </row>
    <row r="6" spans="1:27" ht="50.25" customHeight="1" x14ac:dyDescent="0.2">
      <c r="A6" s="332" t="s">
        <v>9</v>
      </c>
      <c r="B6" s="334" t="s">
        <v>8</v>
      </c>
      <c r="C6" s="336" t="s">
        <v>3</v>
      </c>
      <c r="D6" s="338" t="s">
        <v>7</v>
      </c>
      <c r="E6" s="340" t="s">
        <v>18</v>
      </c>
      <c r="F6" s="342" t="s">
        <v>20</v>
      </c>
      <c r="G6" s="344" t="s">
        <v>24</v>
      </c>
      <c r="H6" s="345"/>
      <c r="I6" s="329" t="s">
        <v>62</v>
      </c>
      <c r="J6" s="329"/>
      <c r="K6" s="329" t="s">
        <v>25</v>
      </c>
      <c r="L6" s="329"/>
      <c r="M6" s="329" t="s">
        <v>83</v>
      </c>
      <c r="N6" s="329"/>
      <c r="O6" s="329" t="s">
        <v>63</v>
      </c>
      <c r="P6" s="329"/>
      <c r="Q6" s="330" t="s">
        <v>36</v>
      </c>
      <c r="R6" s="331"/>
      <c r="S6" s="346" t="s">
        <v>31</v>
      </c>
      <c r="T6" s="346"/>
      <c r="U6" s="347" t="s">
        <v>76</v>
      </c>
      <c r="V6" s="321" t="s">
        <v>26</v>
      </c>
      <c r="W6" s="323" t="s">
        <v>120</v>
      </c>
      <c r="X6" s="296" t="s">
        <v>82</v>
      </c>
      <c r="Y6" s="325" t="s">
        <v>34</v>
      </c>
      <c r="Z6" s="316" t="s">
        <v>110</v>
      </c>
    </row>
    <row r="7" spans="1:27" ht="56.25" customHeight="1" thickBot="1" x14ac:dyDescent="0.25">
      <c r="A7" s="333"/>
      <c r="B7" s="335"/>
      <c r="C7" s="337"/>
      <c r="D7" s="339"/>
      <c r="E7" s="341"/>
      <c r="F7" s="343"/>
      <c r="G7" s="92" t="s">
        <v>0</v>
      </c>
      <c r="H7" s="93" t="s">
        <v>2</v>
      </c>
      <c r="I7" s="94" t="s">
        <v>0</v>
      </c>
      <c r="J7" s="93" t="s">
        <v>2</v>
      </c>
      <c r="K7" s="94" t="s">
        <v>0</v>
      </c>
      <c r="L7" s="93" t="s">
        <v>2</v>
      </c>
      <c r="M7" s="94" t="s">
        <v>0</v>
      </c>
      <c r="N7" s="93" t="s">
        <v>2</v>
      </c>
      <c r="O7" s="94" t="s">
        <v>0</v>
      </c>
      <c r="P7" s="93" t="s">
        <v>2</v>
      </c>
      <c r="Q7" s="94" t="s">
        <v>0</v>
      </c>
      <c r="R7" s="93" t="s">
        <v>2</v>
      </c>
      <c r="S7" s="94" t="s">
        <v>0</v>
      </c>
      <c r="T7" s="93" t="s">
        <v>2</v>
      </c>
      <c r="U7" s="348"/>
      <c r="V7" s="322"/>
      <c r="W7" s="324"/>
      <c r="X7" s="297"/>
      <c r="Y7" s="326"/>
      <c r="Z7" s="317"/>
    </row>
    <row r="8" spans="1:27" ht="16.5" customHeight="1" x14ac:dyDescent="0.2">
      <c r="A8" s="101"/>
      <c r="B8" s="96" t="s">
        <v>103</v>
      </c>
      <c r="C8" s="103"/>
      <c r="D8" s="141"/>
      <c r="E8" s="104"/>
      <c r="F8" s="105"/>
      <c r="G8" s="106"/>
      <c r="H8" s="107"/>
      <c r="I8" s="108"/>
      <c r="J8" s="107"/>
      <c r="K8" s="108"/>
      <c r="L8" s="107"/>
      <c r="M8" s="108"/>
      <c r="N8" s="107"/>
      <c r="O8" s="108"/>
      <c r="P8" s="107"/>
      <c r="Q8" s="102"/>
      <c r="R8" s="102"/>
      <c r="S8" s="102"/>
      <c r="T8" s="102"/>
      <c r="U8" s="109"/>
      <c r="V8" s="110"/>
      <c r="W8" s="110"/>
      <c r="X8" s="166"/>
      <c r="Y8" s="165"/>
      <c r="Z8" s="146"/>
    </row>
    <row r="9" spans="1:27" ht="13.5" customHeight="1" x14ac:dyDescent="0.2">
      <c r="A9" s="20">
        <v>1</v>
      </c>
      <c r="B9" s="46" t="s">
        <v>85</v>
      </c>
      <c r="C9" s="149">
        <v>9</v>
      </c>
      <c r="D9" s="150">
        <v>5005</v>
      </c>
      <c r="E9" s="82">
        <v>1</v>
      </c>
      <c r="F9" s="83">
        <f>D9*E9</f>
        <v>5005</v>
      </c>
      <c r="G9" s="77">
        <v>0.3</v>
      </c>
      <c r="H9" s="95">
        <f>F9*G9</f>
        <v>1501.5</v>
      </c>
      <c r="I9" s="42"/>
      <c r="J9" s="40"/>
      <c r="K9" s="40"/>
      <c r="L9" s="40"/>
      <c r="M9" s="42"/>
      <c r="N9" s="40"/>
      <c r="O9" s="42"/>
      <c r="P9" s="40"/>
      <c r="Q9" s="39">
        <v>0.5</v>
      </c>
      <c r="R9" s="40">
        <f>F9*Q9</f>
        <v>2502.5</v>
      </c>
      <c r="S9" s="39">
        <v>0.15</v>
      </c>
      <c r="T9" s="40">
        <f>F9*S9</f>
        <v>750.75</v>
      </c>
      <c r="U9" s="86">
        <f>F9*0.25</f>
        <v>1251.25</v>
      </c>
      <c r="V9" s="88">
        <f>F9+H9+J9+L9+N9+P9+R9+T9+U9</f>
        <v>11011</v>
      </c>
      <c r="W9" s="88">
        <f>V9*8</f>
        <v>88088</v>
      </c>
      <c r="X9" s="40">
        <f>F9</f>
        <v>5005</v>
      </c>
      <c r="Y9" s="180">
        <v>3000</v>
      </c>
      <c r="Z9" s="181">
        <f>SUM(W9:Y9)</f>
        <v>96093</v>
      </c>
      <c r="AA9" s="158"/>
    </row>
    <row r="10" spans="1:27" ht="13.5" customHeight="1" x14ac:dyDescent="0.2">
      <c r="A10" s="19">
        <f>A9+1</f>
        <v>2</v>
      </c>
      <c r="B10" s="46" t="s">
        <v>81</v>
      </c>
      <c r="C10" s="149">
        <v>8</v>
      </c>
      <c r="D10" s="150">
        <v>4745</v>
      </c>
      <c r="E10" s="82">
        <v>1</v>
      </c>
      <c r="F10" s="83">
        <f t="shared" ref="F10:F25" si="0">D10*E10</f>
        <v>4745</v>
      </c>
      <c r="G10" s="77"/>
      <c r="H10" s="36"/>
      <c r="I10" s="37">
        <v>0.5</v>
      </c>
      <c r="J10" s="40">
        <f t="shared" ref="J10:J25" si="1">F10*I10</f>
        <v>2372.5</v>
      </c>
      <c r="K10" s="38"/>
      <c r="L10" s="38"/>
      <c r="M10" s="42"/>
      <c r="N10" s="40"/>
      <c r="O10" s="42"/>
      <c r="P10" s="40"/>
      <c r="Q10" s="39"/>
      <c r="R10" s="40"/>
      <c r="S10" s="39"/>
      <c r="T10" s="40"/>
      <c r="U10" s="86">
        <f t="shared" ref="U10:U25" si="2">F10</f>
        <v>4745</v>
      </c>
      <c r="V10" s="88">
        <f t="shared" ref="V10:V25" si="3">F10+H10+J10+L10+N10+P10+R10+T10+U10</f>
        <v>11862.5</v>
      </c>
      <c r="W10" s="88">
        <f t="shared" ref="W10:W25" si="4">V10*8</f>
        <v>94900</v>
      </c>
      <c r="X10" s="40">
        <f t="shared" ref="X10:X25" si="5">F10</f>
        <v>4745</v>
      </c>
      <c r="Y10" s="180">
        <v>9000</v>
      </c>
      <c r="Z10" s="181">
        <f t="shared" ref="Z10:Z25" si="6">SUM(W10:Y10)</f>
        <v>108645</v>
      </c>
      <c r="AA10" s="158"/>
    </row>
    <row r="11" spans="1:27" s="6" customFormat="1" ht="13.5" customHeight="1" x14ac:dyDescent="0.2">
      <c r="A11" s="19">
        <f t="shared" ref="A11:A25" si="7">A10+1</f>
        <v>3</v>
      </c>
      <c r="B11" s="47" t="s">
        <v>56</v>
      </c>
      <c r="C11" s="149">
        <v>9</v>
      </c>
      <c r="D11" s="150">
        <v>5005</v>
      </c>
      <c r="E11" s="82">
        <v>0.5</v>
      </c>
      <c r="F11" s="83">
        <f t="shared" si="0"/>
        <v>2502.5</v>
      </c>
      <c r="G11" s="78"/>
      <c r="H11" s="43"/>
      <c r="I11" s="42"/>
      <c r="J11" s="40"/>
      <c r="K11" s="42"/>
      <c r="L11" s="43"/>
      <c r="M11" s="43"/>
      <c r="N11" s="43"/>
      <c r="O11" s="43"/>
      <c r="P11" s="43"/>
      <c r="Q11" s="42"/>
      <c r="R11" s="43"/>
      <c r="S11" s="42"/>
      <c r="T11" s="43"/>
      <c r="U11" s="86">
        <f t="shared" si="2"/>
        <v>2502.5</v>
      </c>
      <c r="V11" s="88">
        <f t="shared" si="3"/>
        <v>5005</v>
      </c>
      <c r="W11" s="88">
        <f t="shared" si="4"/>
        <v>40040</v>
      </c>
      <c r="X11" s="40">
        <f t="shared" si="5"/>
        <v>2502.5</v>
      </c>
      <c r="Y11" s="180">
        <v>1500</v>
      </c>
      <c r="Z11" s="181">
        <f t="shared" si="6"/>
        <v>44042.5</v>
      </c>
      <c r="AA11" s="158"/>
    </row>
    <row r="12" spans="1:27" s="6" customFormat="1" ht="13.5" customHeight="1" x14ac:dyDescent="0.2">
      <c r="A12" s="19">
        <f t="shared" si="7"/>
        <v>4</v>
      </c>
      <c r="B12" s="46" t="s">
        <v>28</v>
      </c>
      <c r="C12" s="149">
        <v>9</v>
      </c>
      <c r="D12" s="150">
        <v>5005</v>
      </c>
      <c r="E12" s="82">
        <v>1</v>
      </c>
      <c r="F12" s="83">
        <f t="shared" si="0"/>
        <v>5005</v>
      </c>
      <c r="G12" s="77">
        <v>0.3</v>
      </c>
      <c r="H12" s="43">
        <f>G12*F12</f>
        <v>1501.5</v>
      </c>
      <c r="I12" s="42"/>
      <c r="J12" s="40"/>
      <c r="K12" s="42"/>
      <c r="L12" s="43"/>
      <c r="M12" s="43"/>
      <c r="N12" s="43"/>
      <c r="O12" s="43"/>
      <c r="P12" s="43"/>
      <c r="Q12" s="42"/>
      <c r="R12" s="43"/>
      <c r="S12" s="42"/>
      <c r="T12" s="43"/>
      <c r="U12" s="86">
        <f t="shared" si="2"/>
        <v>5005</v>
      </c>
      <c r="V12" s="88">
        <f t="shared" si="3"/>
        <v>11511.5</v>
      </c>
      <c r="W12" s="88">
        <f t="shared" si="4"/>
        <v>92092</v>
      </c>
      <c r="X12" s="40">
        <f t="shared" si="5"/>
        <v>5005</v>
      </c>
      <c r="Y12" s="180">
        <v>6000</v>
      </c>
      <c r="Z12" s="181">
        <f t="shared" si="6"/>
        <v>103097</v>
      </c>
      <c r="AA12" s="158"/>
    </row>
    <row r="13" spans="1:27" s="6" customFormat="1" ht="13.5" customHeight="1" x14ac:dyDescent="0.2">
      <c r="A13" s="19">
        <v>5</v>
      </c>
      <c r="B13" s="46" t="s">
        <v>102</v>
      </c>
      <c r="C13" s="149">
        <v>9</v>
      </c>
      <c r="D13" s="150">
        <v>5005</v>
      </c>
      <c r="E13" s="82">
        <v>1</v>
      </c>
      <c r="F13" s="83">
        <f t="shared" si="0"/>
        <v>5005</v>
      </c>
      <c r="G13" s="77"/>
      <c r="H13" s="43"/>
      <c r="I13" s="42"/>
      <c r="J13" s="40"/>
      <c r="K13" s="42"/>
      <c r="L13" s="43"/>
      <c r="M13" s="43"/>
      <c r="N13" s="43"/>
      <c r="O13" s="43"/>
      <c r="P13" s="43"/>
      <c r="Q13" s="42"/>
      <c r="R13" s="43"/>
      <c r="S13" s="42"/>
      <c r="T13" s="43"/>
      <c r="U13" s="86">
        <f>F13</f>
        <v>5005</v>
      </c>
      <c r="V13" s="88">
        <f t="shared" si="3"/>
        <v>10010</v>
      </c>
      <c r="W13" s="88">
        <f t="shared" si="4"/>
        <v>80080</v>
      </c>
      <c r="X13" s="40">
        <f t="shared" si="5"/>
        <v>5005</v>
      </c>
      <c r="Y13" s="180">
        <v>3000</v>
      </c>
      <c r="Z13" s="181">
        <f t="shared" si="6"/>
        <v>88085</v>
      </c>
      <c r="AA13" s="158"/>
    </row>
    <row r="14" spans="1:27" s="6" customFormat="1" ht="13.5" customHeight="1" x14ac:dyDescent="0.2">
      <c r="A14" s="19"/>
      <c r="B14" s="96" t="s">
        <v>35</v>
      </c>
      <c r="C14" s="149"/>
      <c r="D14" s="150"/>
      <c r="E14" s="82"/>
      <c r="F14" s="83"/>
      <c r="G14" s="77"/>
      <c r="H14" s="43"/>
      <c r="I14" s="42"/>
      <c r="J14" s="40"/>
      <c r="K14" s="42"/>
      <c r="L14" s="43"/>
      <c r="M14" s="43"/>
      <c r="N14" s="43"/>
      <c r="O14" s="43"/>
      <c r="P14" s="43"/>
      <c r="Q14" s="42"/>
      <c r="R14" s="43"/>
      <c r="S14" s="42"/>
      <c r="T14" s="43"/>
      <c r="U14" s="86"/>
      <c r="V14" s="88"/>
      <c r="W14" s="88">
        <f t="shared" si="4"/>
        <v>0</v>
      </c>
      <c r="X14" s="40"/>
      <c r="Y14" s="180"/>
      <c r="Z14" s="181"/>
      <c r="AA14" s="158"/>
    </row>
    <row r="15" spans="1:27" s="29" customFormat="1" ht="12" x14ac:dyDescent="0.2">
      <c r="A15" s="19">
        <f>A12+1</f>
        <v>5</v>
      </c>
      <c r="B15" s="45" t="s">
        <v>57</v>
      </c>
      <c r="C15" s="151">
        <v>1</v>
      </c>
      <c r="D15" s="152">
        <v>2893</v>
      </c>
      <c r="E15" s="82">
        <v>2</v>
      </c>
      <c r="F15" s="83">
        <f t="shared" si="0"/>
        <v>5786</v>
      </c>
      <c r="G15" s="78"/>
      <c r="H15" s="44"/>
      <c r="I15" s="42">
        <v>0.5</v>
      </c>
      <c r="J15" s="40">
        <f t="shared" si="1"/>
        <v>2893</v>
      </c>
      <c r="K15" s="42"/>
      <c r="L15" s="44"/>
      <c r="M15" s="44"/>
      <c r="N15" s="44"/>
      <c r="O15" s="44"/>
      <c r="P15" s="44"/>
      <c r="Q15" s="39"/>
      <c r="R15" s="44"/>
      <c r="S15" s="39"/>
      <c r="T15" s="44"/>
      <c r="U15" s="86">
        <f t="shared" si="2"/>
        <v>5786</v>
      </c>
      <c r="V15" s="88">
        <f t="shared" si="3"/>
        <v>14465</v>
      </c>
      <c r="W15" s="88">
        <f t="shared" si="4"/>
        <v>115720</v>
      </c>
      <c r="X15" s="40">
        <f t="shared" si="5"/>
        <v>5786</v>
      </c>
      <c r="Y15" s="180">
        <f>14000-993.6</f>
        <v>13006.4</v>
      </c>
      <c r="Z15" s="181">
        <f t="shared" si="6"/>
        <v>134512.4</v>
      </c>
      <c r="AA15" s="158"/>
    </row>
    <row r="16" spans="1:27" s="29" customFormat="1" ht="12" x14ac:dyDescent="0.2">
      <c r="A16" s="19">
        <f t="shared" si="7"/>
        <v>6</v>
      </c>
      <c r="B16" s="45" t="s">
        <v>17</v>
      </c>
      <c r="C16" s="149">
        <v>5</v>
      </c>
      <c r="D16" s="150">
        <v>3934</v>
      </c>
      <c r="E16" s="82">
        <v>1</v>
      </c>
      <c r="F16" s="83">
        <f t="shared" si="0"/>
        <v>3934</v>
      </c>
      <c r="G16" s="77"/>
      <c r="H16" s="36"/>
      <c r="I16" s="37">
        <v>0.5</v>
      </c>
      <c r="J16" s="40">
        <f t="shared" si="1"/>
        <v>1967</v>
      </c>
      <c r="K16" s="38"/>
      <c r="L16" s="38"/>
      <c r="M16" s="42"/>
      <c r="N16" s="40"/>
      <c r="O16" s="42"/>
      <c r="P16" s="40"/>
      <c r="Q16" s="39"/>
      <c r="R16" s="40"/>
      <c r="S16" s="39"/>
      <c r="T16" s="40"/>
      <c r="U16" s="86">
        <f t="shared" si="2"/>
        <v>3934</v>
      </c>
      <c r="V16" s="88">
        <f t="shared" si="3"/>
        <v>9835</v>
      </c>
      <c r="W16" s="88">
        <f t="shared" si="4"/>
        <v>78680</v>
      </c>
      <c r="X16" s="40">
        <f t="shared" si="5"/>
        <v>3934</v>
      </c>
      <c r="Y16" s="180">
        <v>9000</v>
      </c>
      <c r="Z16" s="181">
        <f t="shared" si="6"/>
        <v>91614</v>
      </c>
      <c r="AA16" s="158"/>
    </row>
    <row r="17" spans="1:32" s="1" customFormat="1" ht="24" customHeight="1" x14ac:dyDescent="0.2">
      <c r="A17" s="19">
        <f t="shared" si="7"/>
        <v>7</v>
      </c>
      <c r="B17" s="71" t="s">
        <v>58</v>
      </c>
      <c r="C17" s="149">
        <v>5</v>
      </c>
      <c r="D17" s="150">
        <v>3934</v>
      </c>
      <c r="E17" s="82">
        <v>1</v>
      </c>
      <c r="F17" s="83">
        <f t="shared" si="0"/>
        <v>3934</v>
      </c>
      <c r="G17" s="78"/>
      <c r="H17" s="43"/>
      <c r="I17" s="42">
        <v>0.5</v>
      </c>
      <c r="J17" s="95">
        <f t="shared" si="1"/>
        <v>1967</v>
      </c>
      <c r="K17" s="42"/>
      <c r="L17" s="43"/>
      <c r="M17" s="43"/>
      <c r="N17" s="43"/>
      <c r="O17" s="43"/>
      <c r="P17" s="43"/>
      <c r="Q17" s="42"/>
      <c r="R17" s="43"/>
      <c r="S17" s="42"/>
      <c r="T17" s="43"/>
      <c r="U17" s="86">
        <f t="shared" si="2"/>
        <v>3934</v>
      </c>
      <c r="V17" s="88">
        <f t="shared" si="3"/>
        <v>9835</v>
      </c>
      <c r="W17" s="88">
        <f t="shared" si="4"/>
        <v>78680</v>
      </c>
      <c r="X17" s="40">
        <f t="shared" si="5"/>
        <v>3934</v>
      </c>
      <c r="Y17" s="180">
        <v>3000</v>
      </c>
      <c r="Z17" s="181">
        <f t="shared" si="6"/>
        <v>85614</v>
      </c>
      <c r="AA17" s="158"/>
    </row>
    <row r="18" spans="1:32" s="1" customFormat="1" ht="25.15" customHeight="1" x14ac:dyDescent="0.2">
      <c r="A18" s="19">
        <f t="shared" si="7"/>
        <v>8</v>
      </c>
      <c r="B18" s="71" t="s">
        <v>59</v>
      </c>
      <c r="C18" s="149">
        <v>5</v>
      </c>
      <c r="D18" s="150">
        <v>3934</v>
      </c>
      <c r="E18" s="157">
        <v>0.5</v>
      </c>
      <c r="F18" s="83">
        <f t="shared" si="0"/>
        <v>1967</v>
      </c>
      <c r="G18" s="78"/>
      <c r="H18" s="43"/>
      <c r="I18" s="42">
        <v>0.5</v>
      </c>
      <c r="J18" s="95">
        <f t="shared" si="1"/>
        <v>983.5</v>
      </c>
      <c r="K18" s="42"/>
      <c r="L18" s="43"/>
      <c r="M18" s="43"/>
      <c r="N18" s="43"/>
      <c r="O18" s="43"/>
      <c r="P18" s="43"/>
      <c r="Q18" s="42"/>
      <c r="R18" s="43"/>
      <c r="S18" s="42"/>
      <c r="T18" s="43"/>
      <c r="U18" s="86">
        <f t="shared" si="2"/>
        <v>1967</v>
      </c>
      <c r="V18" s="88">
        <f t="shared" si="3"/>
        <v>4917.5</v>
      </c>
      <c r="W18" s="88">
        <f t="shared" si="4"/>
        <v>39340</v>
      </c>
      <c r="X18" s="40">
        <f t="shared" si="5"/>
        <v>1967</v>
      </c>
      <c r="Y18" s="180">
        <v>1500</v>
      </c>
      <c r="Z18" s="181">
        <f t="shared" si="6"/>
        <v>42807</v>
      </c>
      <c r="AA18" s="158"/>
    </row>
    <row r="19" spans="1:32" s="1" customFormat="1" ht="12" customHeight="1" x14ac:dyDescent="0.2">
      <c r="A19" s="19">
        <v>9</v>
      </c>
      <c r="B19" s="70" t="s">
        <v>66</v>
      </c>
      <c r="C19" s="153">
        <v>5</v>
      </c>
      <c r="D19" s="154">
        <v>3934</v>
      </c>
      <c r="E19" s="82">
        <v>1</v>
      </c>
      <c r="F19" s="83">
        <f t="shared" si="0"/>
        <v>3934</v>
      </c>
      <c r="G19" s="78"/>
      <c r="H19" s="43"/>
      <c r="I19" s="42">
        <v>0.5</v>
      </c>
      <c r="J19" s="40">
        <f t="shared" si="1"/>
        <v>1967</v>
      </c>
      <c r="K19" s="42"/>
      <c r="L19" s="43"/>
      <c r="M19" s="42">
        <v>0.25</v>
      </c>
      <c r="N19" s="142">
        <f>F19*M19</f>
        <v>983.5</v>
      </c>
      <c r="O19" s="43"/>
      <c r="P19" s="43"/>
      <c r="Q19" s="42"/>
      <c r="R19" s="43"/>
      <c r="S19" s="42"/>
      <c r="T19" s="43"/>
      <c r="U19" s="86">
        <f t="shared" si="2"/>
        <v>3934</v>
      </c>
      <c r="V19" s="88">
        <f t="shared" si="3"/>
        <v>10818.5</v>
      </c>
      <c r="W19" s="88">
        <f t="shared" si="4"/>
        <v>86548</v>
      </c>
      <c r="X19" s="40">
        <f t="shared" si="5"/>
        <v>3934</v>
      </c>
      <c r="Y19" s="180">
        <v>24000</v>
      </c>
      <c r="Z19" s="181">
        <f t="shared" si="6"/>
        <v>114482</v>
      </c>
      <c r="AA19" s="158"/>
    </row>
    <row r="20" spans="1:32" s="1" customFormat="1" ht="13.5" customHeight="1" x14ac:dyDescent="0.2">
      <c r="A20" s="19">
        <v>10</v>
      </c>
      <c r="B20" s="46" t="s">
        <v>21</v>
      </c>
      <c r="C20" s="149">
        <v>5</v>
      </c>
      <c r="D20" s="150">
        <v>3934</v>
      </c>
      <c r="E20" s="82">
        <v>2</v>
      </c>
      <c r="F20" s="83">
        <f t="shared" si="0"/>
        <v>7868</v>
      </c>
      <c r="G20" s="78"/>
      <c r="H20" s="43"/>
      <c r="I20" s="42">
        <v>0.5</v>
      </c>
      <c r="J20" s="40">
        <f t="shared" si="1"/>
        <v>3934</v>
      </c>
      <c r="K20" s="42"/>
      <c r="L20" s="43"/>
      <c r="M20" s="43"/>
      <c r="N20" s="43"/>
      <c r="O20" s="43"/>
      <c r="P20" s="43"/>
      <c r="Q20" s="42"/>
      <c r="R20" s="43"/>
      <c r="S20" s="42"/>
      <c r="T20" s="43"/>
      <c r="U20" s="86">
        <f t="shared" si="2"/>
        <v>7868</v>
      </c>
      <c r="V20" s="88">
        <f t="shared" si="3"/>
        <v>19670</v>
      </c>
      <c r="W20" s="88">
        <f t="shared" si="4"/>
        <v>157360</v>
      </c>
      <c r="X20" s="40">
        <f t="shared" si="5"/>
        <v>7868</v>
      </c>
      <c r="Y20" s="180">
        <v>8000</v>
      </c>
      <c r="Z20" s="181">
        <f t="shared" si="6"/>
        <v>173228</v>
      </c>
      <c r="AA20" s="158"/>
    </row>
    <row r="21" spans="1:32" s="1" customFormat="1" ht="12" x14ac:dyDescent="0.2">
      <c r="A21" s="19">
        <f t="shared" si="7"/>
        <v>11</v>
      </c>
      <c r="B21" s="46" t="s">
        <v>60</v>
      </c>
      <c r="C21" s="149">
        <v>2</v>
      </c>
      <c r="D21" s="150">
        <v>3153</v>
      </c>
      <c r="E21" s="20">
        <v>1</v>
      </c>
      <c r="F21" s="83">
        <f t="shared" si="0"/>
        <v>3153</v>
      </c>
      <c r="G21" s="79"/>
      <c r="H21" s="69"/>
      <c r="I21" s="42">
        <v>0.5</v>
      </c>
      <c r="J21" s="40">
        <f t="shared" si="1"/>
        <v>1576.5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86">
        <f t="shared" si="2"/>
        <v>3153</v>
      </c>
      <c r="V21" s="88">
        <f t="shared" si="3"/>
        <v>7882.5</v>
      </c>
      <c r="W21" s="88">
        <f t="shared" si="4"/>
        <v>63060</v>
      </c>
      <c r="X21" s="40">
        <f t="shared" si="5"/>
        <v>3153</v>
      </c>
      <c r="Y21" s="180">
        <v>3000</v>
      </c>
      <c r="Z21" s="181">
        <f t="shared" si="6"/>
        <v>69213</v>
      </c>
      <c r="AA21" s="158"/>
    </row>
    <row r="22" spans="1:32" s="1" customFormat="1" ht="12" x14ac:dyDescent="0.2">
      <c r="A22" s="19">
        <f t="shared" si="7"/>
        <v>12</v>
      </c>
      <c r="B22" s="46" t="s">
        <v>22</v>
      </c>
      <c r="C22" s="149">
        <v>2</v>
      </c>
      <c r="D22" s="150">
        <v>3153</v>
      </c>
      <c r="E22" s="82">
        <v>1</v>
      </c>
      <c r="F22" s="83">
        <f t="shared" si="0"/>
        <v>3153</v>
      </c>
      <c r="G22" s="77"/>
      <c r="H22" s="43"/>
      <c r="I22" s="42">
        <v>0.5</v>
      </c>
      <c r="J22" s="40">
        <f t="shared" si="1"/>
        <v>1576.5</v>
      </c>
      <c r="K22" s="42"/>
      <c r="L22" s="43"/>
      <c r="M22" s="43"/>
      <c r="N22" s="43"/>
      <c r="O22" s="43"/>
      <c r="P22" s="43"/>
      <c r="Q22" s="42"/>
      <c r="R22" s="43"/>
      <c r="S22" s="42"/>
      <c r="T22" s="43"/>
      <c r="U22" s="86">
        <f t="shared" si="2"/>
        <v>3153</v>
      </c>
      <c r="V22" s="88">
        <f t="shared" si="3"/>
        <v>7882.5</v>
      </c>
      <c r="W22" s="88">
        <f t="shared" si="4"/>
        <v>63060</v>
      </c>
      <c r="X22" s="40">
        <f t="shared" si="5"/>
        <v>3153</v>
      </c>
      <c r="Y22" s="180">
        <v>3000</v>
      </c>
      <c r="Z22" s="181">
        <f t="shared" si="6"/>
        <v>69213</v>
      </c>
      <c r="AA22" s="158"/>
    </row>
    <row r="23" spans="1:32" s="1" customFormat="1" ht="12" x14ac:dyDescent="0.2">
      <c r="A23" s="19">
        <f t="shared" si="7"/>
        <v>13</v>
      </c>
      <c r="B23" s="46" t="s">
        <v>19</v>
      </c>
      <c r="C23" s="149">
        <v>2</v>
      </c>
      <c r="D23" s="150">
        <v>3153</v>
      </c>
      <c r="E23" s="82">
        <v>1</v>
      </c>
      <c r="F23" s="83">
        <f t="shared" si="0"/>
        <v>3153</v>
      </c>
      <c r="G23" s="78"/>
      <c r="H23" s="43"/>
      <c r="I23" s="42">
        <v>0.5</v>
      </c>
      <c r="J23" s="40">
        <f t="shared" si="1"/>
        <v>1576.5</v>
      </c>
      <c r="K23" s="42">
        <v>0.35</v>
      </c>
      <c r="L23" s="142">
        <f>F23*K23</f>
        <v>1103.55</v>
      </c>
      <c r="M23" s="43"/>
      <c r="N23" s="43"/>
      <c r="O23" s="43"/>
      <c r="P23" s="43"/>
      <c r="Q23" s="42"/>
      <c r="R23" s="43"/>
      <c r="S23" s="42"/>
      <c r="T23" s="43"/>
      <c r="U23" s="86">
        <f t="shared" si="2"/>
        <v>3153</v>
      </c>
      <c r="V23" s="88">
        <f t="shared" si="3"/>
        <v>8986.0499999999993</v>
      </c>
      <c r="W23" s="88">
        <f t="shared" si="4"/>
        <v>71888.399999999994</v>
      </c>
      <c r="X23" s="40">
        <f t="shared" si="5"/>
        <v>3153</v>
      </c>
      <c r="Y23" s="180">
        <v>3000</v>
      </c>
      <c r="Z23" s="181">
        <f t="shared" si="6"/>
        <v>78041.399999999994</v>
      </c>
      <c r="AA23" s="158"/>
    </row>
    <row r="24" spans="1:32" s="1" customFormat="1" ht="12" x14ac:dyDescent="0.2">
      <c r="A24" s="19">
        <f t="shared" si="7"/>
        <v>14</v>
      </c>
      <c r="B24" s="46" t="s">
        <v>23</v>
      </c>
      <c r="C24" s="149">
        <v>2</v>
      </c>
      <c r="D24" s="150">
        <v>3153</v>
      </c>
      <c r="E24" s="82">
        <v>0.5</v>
      </c>
      <c r="F24" s="83">
        <f t="shared" si="0"/>
        <v>1576.5</v>
      </c>
      <c r="G24" s="78"/>
      <c r="H24" s="43"/>
      <c r="I24" s="42">
        <v>0.5</v>
      </c>
      <c r="J24" s="40">
        <f t="shared" si="1"/>
        <v>788.25</v>
      </c>
      <c r="K24" s="42"/>
      <c r="L24" s="43"/>
      <c r="M24" s="43"/>
      <c r="N24" s="43"/>
      <c r="O24" s="43"/>
      <c r="P24" s="43"/>
      <c r="Q24" s="42"/>
      <c r="R24" s="43"/>
      <c r="S24" s="42"/>
      <c r="T24" s="43"/>
      <c r="U24" s="86">
        <f t="shared" si="2"/>
        <v>1576.5</v>
      </c>
      <c r="V24" s="88">
        <f t="shared" si="3"/>
        <v>3941.25</v>
      </c>
      <c r="W24" s="88">
        <f t="shared" si="4"/>
        <v>31530</v>
      </c>
      <c r="X24" s="40">
        <f t="shared" si="5"/>
        <v>1576.5</v>
      </c>
      <c r="Y24" s="180">
        <v>3000</v>
      </c>
      <c r="Z24" s="181">
        <f t="shared" si="6"/>
        <v>36106.5</v>
      </c>
      <c r="AA24" s="158"/>
    </row>
    <row r="25" spans="1:32" s="1" customFormat="1" thickBot="1" x14ac:dyDescent="0.25">
      <c r="A25" s="58">
        <f t="shared" si="7"/>
        <v>15</v>
      </c>
      <c r="B25" s="70" t="s">
        <v>61</v>
      </c>
      <c r="C25" s="153">
        <v>2</v>
      </c>
      <c r="D25" s="155">
        <v>3153</v>
      </c>
      <c r="E25" s="144">
        <v>3</v>
      </c>
      <c r="F25" s="83">
        <f t="shared" si="0"/>
        <v>9459</v>
      </c>
      <c r="G25" s="80"/>
      <c r="H25" s="62"/>
      <c r="I25" s="59">
        <v>0.5</v>
      </c>
      <c r="J25" s="40">
        <f t="shared" si="1"/>
        <v>4729.5</v>
      </c>
      <c r="K25" s="59"/>
      <c r="L25" s="62"/>
      <c r="M25" s="62"/>
      <c r="N25" s="62"/>
      <c r="O25" s="59">
        <v>0.1</v>
      </c>
      <c r="P25" s="62">
        <f>F25*O25</f>
        <v>945.90000000000009</v>
      </c>
      <c r="Q25" s="59"/>
      <c r="R25" s="62"/>
      <c r="S25" s="59"/>
      <c r="T25" s="62"/>
      <c r="U25" s="86">
        <f t="shared" si="2"/>
        <v>9459</v>
      </c>
      <c r="V25" s="89">
        <f t="shared" si="3"/>
        <v>24593.4</v>
      </c>
      <c r="W25" s="88">
        <f t="shared" si="4"/>
        <v>196747.2</v>
      </c>
      <c r="X25" s="40">
        <f t="shared" si="5"/>
        <v>9459</v>
      </c>
      <c r="Y25" s="180">
        <v>9000</v>
      </c>
      <c r="Z25" s="181">
        <f t="shared" si="6"/>
        <v>215206.2</v>
      </c>
      <c r="AA25" s="158"/>
    </row>
    <row r="26" spans="1:32" ht="15" customHeight="1" thickBot="1" x14ac:dyDescent="0.25">
      <c r="A26" s="72"/>
      <c r="B26" s="73" t="s">
        <v>5</v>
      </c>
      <c r="C26" s="74"/>
      <c r="D26" s="76"/>
      <c r="E26" s="84">
        <f>SUM(E9:E25)</f>
        <v>18.5</v>
      </c>
      <c r="F26" s="85">
        <f>SUM(F9:F25)</f>
        <v>70180</v>
      </c>
      <c r="G26" s="81"/>
      <c r="H26" s="75">
        <f t="shared" ref="H26:U26" si="8">SUM(H9:H25)</f>
        <v>3003</v>
      </c>
      <c r="I26" s="75"/>
      <c r="J26" s="75">
        <f t="shared" si="8"/>
        <v>26331.25</v>
      </c>
      <c r="K26" s="75"/>
      <c r="L26" s="143">
        <f t="shared" si="8"/>
        <v>1103.55</v>
      </c>
      <c r="M26" s="75"/>
      <c r="N26" s="75">
        <f t="shared" si="8"/>
        <v>983.5</v>
      </c>
      <c r="O26" s="75"/>
      <c r="P26" s="75">
        <f t="shared" si="8"/>
        <v>945.90000000000009</v>
      </c>
      <c r="Q26" s="75"/>
      <c r="R26" s="75">
        <f t="shared" si="8"/>
        <v>2502.5</v>
      </c>
      <c r="S26" s="75"/>
      <c r="T26" s="75">
        <f t="shared" si="8"/>
        <v>750.75</v>
      </c>
      <c r="U26" s="87">
        <f t="shared" si="8"/>
        <v>66426.25</v>
      </c>
      <c r="V26" s="90">
        <f>SUM(V9:V25)</f>
        <v>172226.69999999998</v>
      </c>
      <c r="W26" s="91">
        <f>SUM(W9:W25)</f>
        <v>1377813.5999999999</v>
      </c>
      <c r="X26" s="91">
        <f>SUM(X9:X25)</f>
        <v>70180</v>
      </c>
      <c r="Y26" s="147">
        <f t="shared" ref="Y26:Z26" si="9">SUM(Y9:Y25)</f>
        <v>102006.39999999999</v>
      </c>
      <c r="Z26" s="182">
        <f t="shared" si="9"/>
        <v>1549999.9999999998</v>
      </c>
    </row>
    <row r="27" spans="1:32" x14ac:dyDescent="0.2">
      <c r="H27" s="327"/>
      <c r="I27" s="327"/>
      <c r="J27" s="328"/>
      <c r="K27" s="55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49"/>
      <c r="W27" s="57"/>
      <c r="X27" s="57"/>
      <c r="Y27" s="159" t="s">
        <v>77</v>
      </c>
      <c r="Z27" s="162">
        <f>Z26*0.22</f>
        <v>340999.99999999994</v>
      </c>
    </row>
    <row r="28" spans="1:32" ht="12" customHeight="1" x14ac:dyDescent="0.2">
      <c r="A28" s="15"/>
      <c r="B28" s="23"/>
      <c r="C28" s="16"/>
      <c r="D28" s="16"/>
      <c r="E28" s="16"/>
      <c r="F28" s="3"/>
      <c r="G28" s="3"/>
      <c r="H28" s="33"/>
      <c r="I28" s="52"/>
      <c r="J28" s="3"/>
      <c r="K28" s="52"/>
      <c r="L28" s="3"/>
      <c r="M28" s="3"/>
      <c r="N28" s="3"/>
      <c r="O28" s="3"/>
      <c r="P28" s="3"/>
      <c r="Q28" s="3"/>
      <c r="R28" s="3"/>
      <c r="S28" s="3"/>
      <c r="T28" s="3"/>
      <c r="U28" s="3"/>
      <c r="W28" s="57"/>
      <c r="X28" s="57"/>
      <c r="Y28" s="160" t="s">
        <v>78</v>
      </c>
      <c r="Z28" s="162">
        <f>SUM(Z26:Z27)</f>
        <v>1890999.9999999998</v>
      </c>
      <c r="AA28" s="2"/>
      <c r="AB28" s="2"/>
      <c r="AC28" s="2"/>
      <c r="AD28" s="2"/>
      <c r="AE28" s="2"/>
      <c r="AF28" s="2"/>
    </row>
    <row r="29" spans="1:32" ht="24.75" customHeight="1" x14ac:dyDescent="0.2">
      <c r="B29" s="23"/>
      <c r="C29" s="16"/>
      <c r="D29" s="97"/>
      <c r="E29" s="21"/>
      <c r="F29" s="22"/>
      <c r="G29" s="98"/>
      <c r="H29" s="22"/>
      <c r="I29" s="98"/>
      <c r="J29" s="173"/>
      <c r="K29" s="99"/>
      <c r="L29" s="3"/>
      <c r="M29" s="3"/>
      <c r="N29" s="3"/>
      <c r="O29" s="3"/>
      <c r="P29" s="3"/>
      <c r="Q29" s="3"/>
      <c r="R29" s="3"/>
      <c r="S29" s="3"/>
      <c r="T29" s="3"/>
      <c r="U29" s="3"/>
      <c r="Y29" s="2"/>
      <c r="Z29" s="148"/>
      <c r="AA29" s="2"/>
      <c r="AB29" s="2"/>
      <c r="AC29" s="2"/>
      <c r="AD29" s="2"/>
      <c r="AE29" s="2"/>
    </row>
    <row r="30" spans="1:32" x14ac:dyDescent="0.2">
      <c r="V30" s="49"/>
    </row>
    <row r="31" spans="1:32" ht="40.5" customHeight="1" x14ac:dyDescent="0.2">
      <c r="B31" s="320" t="s">
        <v>4</v>
      </c>
      <c r="C31" s="320"/>
      <c r="D31" s="176"/>
      <c r="E31" s="176"/>
      <c r="F31" s="172"/>
      <c r="G31" s="172"/>
      <c r="I31" s="53"/>
      <c r="J31" s="34" t="s">
        <v>104</v>
      </c>
      <c r="K31" s="56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W31" s="48"/>
      <c r="X31" s="48"/>
    </row>
    <row r="32" spans="1:32" x14ac:dyDescent="0.2">
      <c r="V32" s="49"/>
    </row>
    <row r="33" spans="22:22" x14ac:dyDescent="0.2">
      <c r="V33" s="49"/>
    </row>
    <row r="34" spans="22:22" x14ac:dyDescent="0.2">
      <c r="V34" s="49"/>
    </row>
    <row r="35" spans="22:22" x14ac:dyDescent="0.2">
      <c r="V35" s="49"/>
    </row>
    <row r="36" spans="22:22" x14ac:dyDescent="0.2">
      <c r="V36" s="49"/>
    </row>
    <row r="37" spans="22:22" x14ac:dyDescent="0.2">
      <c r="V37" s="49"/>
    </row>
    <row r="38" spans="22:22" x14ac:dyDescent="0.2">
      <c r="V38" s="49"/>
    </row>
    <row r="39" spans="22:22" x14ac:dyDescent="0.2">
      <c r="V39" s="49"/>
    </row>
    <row r="40" spans="22:22" x14ac:dyDescent="0.2">
      <c r="V40" s="49"/>
    </row>
    <row r="41" spans="22:22" x14ac:dyDescent="0.2">
      <c r="V41" s="49"/>
    </row>
    <row r="42" spans="22:22" x14ac:dyDescent="0.2">
      <c r="V42" s="49"/>
    </row>
  </sheetData>
  <mergeCells count="23">
    <mergeCell ref="V3:Z3"/>
    <mergeCell ref="A6:A7"/>
    <mergeCell ref="B6:B7"/>
    <mergeCell ref="C6:C7"/>
    <mergeCell ref="D6:D7"/>
    <mergeCell ref="E6:E7"/>
    <mergeCell ref="F6:F7"/>
    <mergeCell ref="G6:H6"/>
    <mergeCell ref="I6:J6"/>
    <mergeCell ref="Z6:Z7"/>
    <mergeCell ref="S6:T6"/>
    <mergeCell ref="U6:U7"/>
    <mergeCell ref="A4:X4"/>
    <mergeCell ref="B31:C31"/>
    <mergeCell ref="V6:V7"/>
    <mergeCell ref="W6:W7"/>
    <mergeCell ref="X6:X7"/>
    <mergeCell ref="Y6:Y7"/>
    <mergeCell ref="H27:J27"/>
    <mergeCell ref="K6:L6"/>
    <mergeCell ref="M6:N6"/>
    <mergeCell ref="O6:P6"/>
    <mergeCell ref="Q6:R6"/>
  </mergeCells>
  <pageMargins left="0.59055118110236227" right="0.23622047244094491" top="0.98425196850393704" bottom="0.19685039370078741" header="0.15748031496062992" footer="0.27559055118110237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topLeftCell="G2" zoomScaleNormal="100" workbookViewId="0">
      <selection activeCell="V3" sqref="V3:Z3"/>
    </sheetView>
  </sheetViews>
  <sheetFormatPr defaultColWidth="9.140625" defaultRowHeight="12.75" x14ac:dyDescent="0.2"/>
  <cols>
    <col min="1" max="1" width="2.7109375" style="5" customWidth="1"/>
    <col min="2" max="2" width="30.42578125" style="4" customWidth="1"/>
    <col min="3" max="3" width="4" style="3" customWidth="1"/>
    <col min="4" max="4" width="7.140625" style="3" customWidth="1"/>
    <col min="5" max="5" width="4.7109375" style="3" customWidth="1"/>
    <col min="6" max="6" width="9" style="4" customWidth="1"/>
    <col min="7" max="7" width="4" style="4" customWidth="1"/>
    <col min="8" max="8" width="7.140625" style="35" customWidth="1"/>
    <col min="9" max="9" width="4.85546875" style="50" customWidth="1"/>
    <col min="10" max="10" width="9.85546875" style="4" customWidth="1"/>
    <col min="11" max="11" width="4" style="50" customWidth="1"/>
    <col min="12" max="12" width="7" style="4" customWidth="1"/>
    <col min="13" max="13" width="4.28515625" style="4" customWidth="1"/>
    <col min="14" max="14" width="8.140625" style="4" customWidth="1"/>
    <col min="15" max="15" width="4.85546875" style="4" customWidth="1"/>
    <col min="16" max="16" width="7.7109375" style="4" customWidth="1"/>
    <col min="17" max="17" width="5.7109375" style="4" customWidth="1"/>
    <col min="18" max="18" width="6.85546875" style="4" customWidth="1"/>
    <col min="19" max="19" width="6" style="4" customWidth="1"/>
    <col min="20" max="20" width="6.85546875" style="4" customWidth="1"/>
    <col min="21" max="21" width="9.85546875" style="4" customWidth="1"/>
    <col min="22" max="22" width="11.42578125" style="48" customWidth="1"/>
    <col min="23" max="23" width="9.85546875" style="35" bestFit="1" customWidth="1"/>
    <col min="24" max="24" width="9.85546875" style="35" customWidth="1"/>
    <col min="25" max="25" width="8.5703125" style="4" customWidth="1"/>
    <col min="26" max="26" width="10.42578125" style="4" customWidth="1"/>
    <col min="27" max="27" width="8.42578125" style="4" customWidth="1"/>
    <col min="28" max="16384" width="9.140625" style="4"/>
  </cols>
  <sheetData>
    <row r="1" spans="1:28" ht="12.75" hidden="1" customHeight="1" x14ac:dyDescent="0.2">
      <c r="O1" s="254" t="s">
        <v>38</v>
      </c>
      <c r="P1" s="254"/>
      <c r="Q1" s="254"/>
      <c r="R1" s="254"/>
      <c r="S1" s="254"/>
      <c r="T1" s="254"/>
      <c r="U1" s="254"/>
      <c r="V1" s="254"/>
      <c r="W1" s="254"/>
      <c r="X1" s="254"/>
    </row>
    <row r="2" spans="1:28" ht="12.75" customHeight="1" x14ac:dyDescent="0.2">
      <c r="O2" s="254"/>
      <c r="P2" s="254"/>
      <c r="Q2" s="254"/>
      <c r="R2" s="254"/>
      <c r="S2" s="254"/>
      <c r="T2" s="254"/>
      <c r="V2" s="257" t="s">
        <v>124</v>
      </c>
      <c r="W2" s="257"/>
      <c r="X2" s="257"/>
      <c r="Y2" s="1"/>
      <c r="Z2" s="1"/>
    </row>
    <row r="3" spans="1:28" x14ac:dyDescent="0.2">
      <c r="V3" s="302" t="s">
        <v>131</v>
      </c>
      <c r="W3" s="302"/>
      <c r="X3" s="302"/>
      <c r="Y3" s="303"/>
      <c r="Z3" s="303"/>
    </row>
    <row r="4" spans="1:28" ht="50.25" customHeight="1" thickBot="1" x14ac:dyDescent="0.25">
      <c r="A4" s="304" t="s">
        <v>111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</row>
    <row r="5" spans="1:28" ht="18" customHeight="1" thickBot="1" x14ac:dyDescent="0.25">
      <c r="A5" s="30"/>
      <c r="B5" s="30"/>
      <c r="C5" s="30"/>
      <c r="D5" s="30"/>
      <c r="E5" s="30"/>
      <c r="F5" s="30"/>
      <c r="G5" s="30"/>
      <c r="H5" s="32"/>
      <c r="I5" s="51"/>
      <c r="J5" s="31"/>
      <c r="K5" s="54"/>
      <c r="L5" s="31"/>
      <c r="M5" s="31"/>
      <c r="N5" s="31"/>
      <c r="O5" s="31"/>
      <c r="P5" s="31"/>
      <c r="Q5" s="31"/>
      <c r="R5" s="31"/>
      <c r="S5" s="31"/>
      <c r="T5" s="31"/>
      <c r="U5" s="31"/>
      <c r="V5" s="49"/>
    </row>
    <row r="6" spans="1:28" ht="50.25" customHeight="1" x14ac:dyDescent="0.2">
      <c r="A6" s="332" t="s">
        <v>9</v>
      </c>
      <c r="B6" s="334" t="s">
        <v>8</v>
      </c>
      <c r="C6" s="336" t="s">
        <v>3</v>
      </c>
      <c r="D6" s="338" t="s">
        <v>7</v>
      </c>
      <c r="E6" s="340" t="s">
        <v>18</v>
      </c>
      <c r="F6" s="342" t="s">
        <v>20</v>
      </c>
      <c r="G6" s="344" t="s">
        <v>24</v>
      </c>
      <c r="H6" s="345"/>
      <c r="I6" s="329" t="s">
        <v>62</v>
      </c>
      <c r="J6" s="329"/>
      <c r="K6" s="329" t="s">
        <v>25</v>
      </c>
      <c r="L6" s="329"/>
      <c r="M6" s="329" t="s">
        <v>83</v>
      </c>
      <c r="N6" s="329"/>
      <c r="O6" s="329" t="s">
        <v>63</v>
      </c>
      <c r="P6" s="329"/>
      <c r="Q6" s="330" t="s">
        <v>36</v>
      </c>
      <c r="R6" s="331"/>
      <c r="S6" s="346" t="s">
        <v>31</v>
      </c>
      <c r="T6" s="346"/>
      <c r="U6" s="347" t="s">
        <v>76</v>
      </c>
      <c r="V6" s="321" t="s">
        <v>26</v>
      </c>
      <c r="W6" s="323" t="s">
        <v>121</v>
      </c>
      <c r="X6" s="296" t="s">
        <v>82</v>
      </c>
      <c r="Y6" s="325" t="s">
        <v>34</v>
      </c>
      <c r="Z6" s="316" t="s">
        <v>113</v>
      </c>
    </row>
    <row r="7" spans="1:28" ht="56.25" customHeight="1" thickBot="1" x14ac:dyDescent="0.25">
      <c r="A7" s="333"/>
      <c r="B7" s="335"/>
      <c r="C7" s="337"/>
      <c r="D7" s="339"/>
      <c r="E7" s="341"/>
      <c r="F7" s="343"/>
      <c r="G7" s="92" t="s">
        <v>0</v>
      </c>
      <c r="H7" s="93" t="s">
        <v>2</v>
      </c>
      <c r="I7" s="94" t="s">
        <v>0</v>
      </c>
      <c r="J7" s="93" t="s">
        <v>2</v>
      </c>
      <c r="K7" s="94" t="s">
        <v>0</v>
      </c>
      <c r="L7" s="93" t="s">
        <v>2</v>
      </c>
      <c r="M7" s="94" t="s">
        <v>0</v>
      </c>
      <c r="N7" s="93" t="s">
        <v>2</v>
      </c>
      <c r="O7" s="94" t="s">
        <v>0</v>
      </c>
      <c r="P7" s="93" t="s">
        <v>2</v>
      </c>
      <c r="Q7" s="94" t="s">
        <v>0</v>
      </c>
      <c r="R7" s="93" t="s">
        <v>2</v>
      </c>
      <c r="S7" s="94" t="s">
        <v>0</v>
      </c>
      <c r="T7" s="93" t="s">
        <v>2</v>
      </c>
      <c r="U7" s="348"/>
      <c r="V7" s="322"/>
      <c r="W7" s="324"/>
      <c r="X7" s="297"/>
      <c r="Y7" s="326"/>
      <c r="Z7" s="317"/>
    </row>
    <row r="8" spans="1:28" ht="16.5" customHeight="1" x14ac:dyDescent="0.2">
      <c r="A8" s="101"/>
      <c r="B8" s="96" t="s">
        <v>103</v>
      </c>
      <c r="C8" s="103"/>
      <c r="D8" s="141"/>
      <c r="E8" s="104"/>
      <c r="F8" s="105"/>
      <c r="G8" s="106"/>
      <c r="H8" s="107"/>
      <c r="I8" s="108"/>
      <c r="J8" s="107"/>
      <c r="K8" s="108"/>
      <c r="L8" s="107"/>
      <c r="M8" s="108"/>
      <c r="N8" s="107"/>
      <c r="O8" s="108"/>
      <c r="P8" s="107"/>
      <c r="Q8" s="102"/>
      <c r="R8" s="102"/>
      <c r="S8" s="102"/>
      <c r="T8" s="102"/>
      <c r="U8" s="109"/>
      <c r="V8" s="110"/>
      <c r="W8" s="110"/>
      <c r="X8" s="166"/>
      <c r="Y8" s="165"/>
      <c r="Z8" s="146"/>
    </row>
    <row r="9" spans="1:28" ht="13.5" customHeight="1" x14ac:dyDescent="0.2">
      <c r="A9" s="20">
        <v>1</v>
      </c>
      <c r="B9" s="46" t="s">
        <v>85</v>
      </c>
      <c r="C9" s="149">
        <v>9</v>
      </c>
      <c r="D9" s="150">
        <v>5005</v>
      </c>
      <c r="E9" s="82">
        <v>1</v>
      </c>
      <c r="F9" s="83">
        <f>D9*E9</f>
        <v>5005</v>
      </c>
      <c r="G9" s="77">
        <v>0.3</v>
      </c>
      <c r="H9" s="95">
        <f>F9*G9</f>
        <v>1501.5</v>
      </c>
      <c r="I9" s="42"/>
      <c r="J9" s="40"/>
      <c r="K9" s="40"/>
      <c r="L9" s="40"/>
      <c r="M9" s="42"/>
      <c r="N9" s="40"/>
      <c r="O9" s="42"/>
      <c r="P9" s="40"/>
      <c r="Q9" s="39">
        <v>0.5</v>
      </c>
      <c r="R9" s="40">
        <f>F9*Q9</f>
        <v>2502.5</v>
      </c>
      <c r="S9" s="39">
        <v>0.15</v>
      </c>
      <c r="T9" s="40">
        <f>F9*S9</f>
        <v>750.75</v>
      </c>
      <c r="U9" s="86">
        <f>F9*0.25</f>
        <v>1251.25</v>
      </c>
      <c r="V9" s="88">
        <f>F9+H9+J9+L9+N9+P9+R9+T9+U9</f>
        <v>11011</v>
      </c>
      <c r="W9" s="88">
        <f>V9*4</f>
        <v>44044</v>
      </c>
      <c r="X9" s="40"/>
      <c r="Y9" s="180">
        <f>F9*3</f>
        <v>15015</v>
      </c>
      <c r="Z9" s="181">
        <f>SUM(W9:Y9)</f>
        <v>59059</v>
      </c>
      <c r="AA9" s="158"/>
    </row>
    <row r="10" spans="1:28" ht="13.5" customHeight="1" x14ac:dyDescent="0.2">
      <c r="A10" s="19">
        <f>A9+1</f>
        <v>2</v>
      </c>
      <c r="B10" s="46" t="s">
        <v>81</v>
      </c>
      <c r="C10" s="149">
        <v>8</v>
      </c>
      <c r="D10" s="150">
        <v>4745</v>
      </c>
      <c r="E10" s="82">
        <v>1</v>
      </c>
      <c r="F10" s="83">
        <f t="shared" ref="F10:F27" si="0">D10*E10</f>
        <v>4745</v>
      </c>
      <c r="G10" s="77"/>
      <c r="H10" s="36"/>
      <c r="I10" s="37">
        <v>0.5</v>
      </c>
      <c r="J10" s="40">
        <f t="shared" ref="J10:J27" si="1">F10*I10</f>
        <v>2372.5</v>
      </c>
      <c r="K10" s="38"/>
      <c r="L10" s="38"/>
      <c r="M10" s="42"/>
      <c r="N10" s="40"/>
      <c r="O10" s="42"/>
      <c r="P10" s="40"/>
      <c r="Q10" s="39"/>
      <c r="R10" s="40"/>
      <c r="S10" s="39"/>
      <c r="T10" s="40"/>
      <c r="U10" s="86">
        <f t="shared" ref="U10:U27" si="2">F10</f>
        <v>4745</v>
      </c>
      <c r="V10" s="88">
        <f t="shared" ref="V10:V27" si="3">F10+H10+J10+L10+N10+P10+R10+T10+U10</f>
        <v>11862.5</v>
      </c>
      <c r="W10" s="88">
        <f t="shared" ref="W10:W27" si="4">V10*4</f>
        <v>47450</v>
      </c>
      <c r="X10" s="40"/>
      <c r="Y10" s="180">
        <f>F10*6-1350.8</f>
        <v>27119.200000000001</v>
      </c>
      <c r="Z10" s="181">
        <f t="shared" ref="Z10:Z27" si="5">SUM(W10:Y10)</f>
        <v>74569.2</v>
      </c>
      <c r="AA10" s="158"/>
    </row>
    <row r="11" spans="1:28" s="6" customFormat="1" ht="13.5" customHeight="1" x14ac:dyDescent="0.2">
      <c r="A11" s="19">
        <f t="shared" ref="A11:A27" si="6">A10+1</f>
        <v>3</v>
      </c>
      <c r="B11" s="47" t="s">
        <v>56</v>
      </c>
      <c r="C11" s="149">
        <v>9</v>
      </c>
      <c r="D11" s="150">
        <v>5005</v>
      </c>
      <c r="E11" s="82">
        <v>0.5</v>
      </c>
      <c r="F11" s="83">
        <f t="shared" si="0"/>
        <v>2502.5</v>
      </c>
      <c r="G11" s="78"/>
      <c r="H11" s="43"/>
      <c r="I11" s="42"/>
      <c r="J11" s="40"/>
      <c r="K11" s="42"/>
      <c r="L11" s="43"/>
      <c r="M11" s="43"/>
      <c r="N11" s="43"/>
      <c r="O11" s="43"/>
      <c r="P11" s="43"/>
      <c r="Q11" s="42"/>
      <c r="R11" s="43"/>
      <c r="S11" s="42"/>
      <c r="T11" s="43"/>
      <c r="U11" s="86">
        <f t="shared" si="2"/>
        <v>2502.5</v>
      </c>
      <c r="V11" s="88">
        <f t="shared" si="3"/>
        <v>5005</v>
      </c>
      <c r="W11" s="88">
        <f t="shared" si="4"/>
        <v>20020</v>
      </c>
      <c r="X11" s="40"/>
      <c r="Y11" s="180">
        <f>F11*3</f>
        <v>7507.5</v>
      </c>
      <c r="Z11" s="181">
        <f t="shared" si="5"/>
        <v>27527.5</v>
      </c>
      <c r="AA11" s="158"/>
      <c r="AB11" s="4"/>
    </row>
    <row r="12" spans="1:28" s="6" customFormat="1" ht="13.5" customHeight="1" x14ac:dyDescent="0.2">
      <c r="A12" s="19">
        <f t="shared" si="6"/>
        <v>4</v>
      </c>
      <c r="B12" s="46" t="s">
        <v>28</v>
      </c>
      <c r="C12" s="149">
        <v>9</v>
      </c>
      <c r="D12" s="150">
        <v>5005</v>
      </c>
      <c r="E12" s="82">
        <v>1</v>
      </c>
      <c r="F12" s="83">
        <f t="shared" si="0"/>
        <v>5005</v>
      </c>
      <c r="G12" s="77">
        <v>0.3</v>
      </c>
      <c r="H12" s="43">
        <f>G12*F12</f>
        <v>1501.5</v>
      </c>
      <c r="I12" s="42"/>
      <c r="J12" s="40"/>
      <c r="K12" s="42"/>
      <c r="L12" s="43"/>
      <c r="M12" s="43"/>
      <c r="N12" s="43"/>
      <c r="O12" s="43"/>
      <c r="P12" s="43"/>
      <c r="Q12" s="42"/>
      <c r="R12" s="43"/>
      <c r="S12" s="42"/>
      <c r="T12" s="43"/>
      <c r="U12" s="86">
        <f t="shared" si="2"/>
        <v>5005</v>
      </c>
      <c r="V12" s="88">
        <f t="shared" si="3"/>
        <v>11511.5</v>
      </c>
      <c r="W12" s="88">
        <f t="shared" si="4"/>
        <v>46046</v>
      </c>
      <c r="X12" s="40"/>
      <c r="Y12" s="180">
        <f t="shared" ref="Y12:Y27" si="7">F12*3</f>
        <v>15015</v>
      </c>
      <c r="Z12" s="181">
        <f t="shared" si="5"/>
        <v>61061</v>
      </c>
      <c r="AA12" s="158"/>
      <c r="AB12" s="4"/>
    </row>
    <row r="13" spans="1:28" s="6" customFormat="1" ht="13.5" customHeight="1" x14ac:dyDescent="0.2">
      <c r="A13" s="19">
        <f t="shared" si="6"/>
        <v>5</v>
      </c>
      <c r="B13" s="46" t="s">
        <v>123</v>
      </c>
      <c r="C13" s="149">
        <v>9</v>
      </c>
      <c r="D13" s="150">
        <v>5005</v>
      </c>
      <c r="E13" s="82">
        <v>1</v>
      </c>
      <c r="F13" s="83">
        <f t="shared" si="0"/>
        <v>5005</v>
      </c>
      <c r="G13" s="77"/>
      <c r="H13" s="43"/>
      <c r="I13" s="42"/>
      <c r="J13" s="40"/>
      <c r="K13" s="42"/>
      <c r="L13" s="43"/>
      <c r="M13" s="43"/>
      <c r="N13" s="43"/>
      <c r="O13" s="43"/>
      <c r="P13" s="43"/>
      <c r="Q13" s="42"/>
      <c r="R13" s="43"/>
      <c r="S13" s="42"/>
      <c r="T13" s="43"/>
      <c r="U13" s="86">
        <f t="shared" si="2"/>
        <v>5005</v>
      </c>
      <c r="V13" s="88">
        <f t="shared" si="3"/>
        <v>10010</v>
      </c>
      <c r="W13" s="88">
        <f t="shared" si="4"/>
        <v>40040</v>
      </c>
      <c r="X13" s="40"/>
      <c r="Y13" s="180">
        <f t="shared" si="7"/>
        <v>15015</v>
      </c>
      <c r="Z13" s="181">
        <f t="shared" si="5"/>
        <v>55055</v>
      </c>
      <c r="AA13" s="158"/>
      <c r="AB13" s="4"/>
    </row>
    <row r="14" spans="1:28" s="6" customFormat="1" ht="13.5" customHeight="1" x14ac:dyDescent="0.2">
      <c r="A14" s="19">
        <f t="shared" si="6"/>
        <v>6</v>
      </c>
      <c r="B14" s="46" t="s">
        <v>102</v>
      </c>
      <c r="C14" s="149">
        <v>9</v>
      </c>
      <c r="D14" s="150">
        <v>5005</v>
      </c>
      <c r="E14" s="82">
        <v>1</v>
      </c>
      <c r="F14" s="83">
        <f t="shared" si="0"/>
        <v>5005</v>
      </c>
      <c r="G14" s="77"/>
      <c r="H14" s="43"/>
      <c r="I14" s="42"/>
      <c r="J14" s="40"/>
      <c r="K14" s="42"/>
      <c r="L14" s="43"/>
      <c r="M14" s="43"/>
      <c r="N14" s="43"/>
      <c r="O14" s="43"/>
      <c r="P14" s="43"/>
      <c r="Q14" s="42"/>
      <c r="R14" s="43"/>
      <c r="S14" s="42"/>
      <c r="T14" s="43"/>
      <c r="U14" s="86">
        <f>F14</f>
        <v>5005</v>
      </c>
      <c r="V14" s="88">
        <f t="shared" si="3"/>
        <v>10010</v>
      </c>
      <c r="W14" s="88">
        <f t="shared" si="4"/>
        <v>40040</v>
      </c>
      <c r="X14" s="40"/>
      <c r="Y14" s="180">
        <f t="shared" si="7"/>
        <v>15015</v>
      </c>
      <c r="Z14" s="181">
        <f t="shared" si="5"/>
        <v>55055</v>
      </c>
      <c r="AA14" s="158"/>
      <c r="AB14" s="4"/>
    </row>
    <row r="15" spans="1:28" s="6" customFormat="1" ht="13.5" customHeight="1" x14ac:dyDescent="0.2">
      <c r="A15" s="19"/>
      <c r="B15" s="96" t="s">
        <v>35</v>
      </c>
      <c r="C15" s="149"/>
      <c r="D15" s="150"/>
      <c r="E15" s="82"/>
      <c r="F15" s="83"/>
      <c r="G15" s="77"/>
      <c r="H15" s="43"/>
      <c r="I15" s="42"/>
      <c r="J15" s="40"/>
      <c r="K15" s="42"/>
      <c r="L15" s="43"/>
      <c r="M15" s="43"/>
      <c r="N15" s="43"/>
      <c r="O15" s="43"/>
      <c r="P15" s="43"/>
      <c r="Q15" s="42"/>
      <c r="R15" s="43"/>
      <c r="S15" s="42"/>
      <c r="T15" s="43"/>
      <c r="U15" s="86"/>
      <c r="V15" s="88"/>
      <c r="W15" s="88">
        <f t="shared" si="4"/>
        <v>0</v>
      </c>
      <c r="X15" s="40"/>
      <c r="Y15" s="180">
        <f t="shared" si="7"/>
        <v>0</v>
      </c>
      <c r="Z15" s="181"/>
      <c r="AA15" s="158"/>
      <c r="AB15" s="4"/>
    </row>
    <row r="16" spans="1:28" s="29" customFormat="1" x14ac:dyDescent="0.2">
      <c r="A16" s="19">
        <f>A14+1</f>
        <v>7</v>
      </c>
      <c r="B16" s="45" t="s">
        <v>57</v>
      </c>
      <c r="C16" s="151">
        <v>1</v>
      </c>
      <c r="D16" s="152">
        <v>2893</v>
      </c>
      <c r="E16" s="82">
        <v>2</v>
      </c>
      <c r="F16" s="83">
        <f t="shared" si="0"/>
        <v>5786</v>
      </c>
      <c r="G16" s="78"/>
      <c r="H16" s="44"/>
      <c r="I16" s="42">
        <v>0.5</v>
      </c>
      <c r="J16" s="40">
        <f t="shared" si="1"/>
        <v>2893</v>
      </c>
      <c r="K16" s="42"/>
      <c r="L16" s="44"/>
      <c r="M16" s="44"/>
      <c r="N16" s="44"/>
      <c r="O16" s="44"/>
      <c r="P16" s="44"/>
      <c r="Q16" s="39"/>
      <c r="R16" s="44"/>
      <c r="S16" s="39"/>
      <c r="T16" s="44"/>
      <c r="U16" s="86">
        <f t="shared" si="2"/>
        <v>5786</v>
      </c>
      <c r="V16" s="88">
        <f t="shared" si="3"/>
        <v>14465</v>
      </c>
      <c r="W16" s="88">
        <f t="shared" si="4"/>
        <v>57860</v>
      </c>
      <c r="X16" s="40"/>
      <c r="Y16" s="180">
        <f t="shared" si="7"/>
        <v>17358</v>
      </c>
      <c r="Z16" s="181">
        <f t="shared" si="5"/>
        <v>75218</v>
      </c>
      <c r="AA16" s="158"/>
      <c r="AB16" s="4"/>
    </row>
    <row r="17" spans="1:32" s="29" customFormat="1" x14ac:dyDescent="0.2">
      <c r="A17" s="19">
        <f t="shared" si="6"/>
        <v>8</v>
      </c>
      <c r="B17" s="45" t="s">
        <v>17</v>
      </c>
      <c r="C17" s="149">
        <v>5</v>
      </c>
      <c r="D17" s="150">
        <v>3934</v>
      </c>
      <c r="E17" s="82">
        <v>1</v>
      </c>
      <c r="F17" s="83">
        <f t="shared" si="0"/>
        <v>3934</v>
      </c>
      <c r="G17" s="77"/>
      <c r="H17" s="36"/>
      <c r="I17" s="37">
        <v>0.5</v>
      </c>
      <c r="J17" s="40">
        <f t="shared" si="1"/>
        <v>1967</v>
      </c>
      <c r="K17" s="38"/>
      <c r="L17" s="38"/>
      <c r="M17" s="42"/>
      <c r="N17" s="40"/>
      <c r="O17" s="42"/>
      <c r="P17" s="40"/>
      <c r="Q17" s="39"/>
      <c r="R17" s="40"/>
      <c r="S17" s="39"/>
      <c r="T17" s="40"/>
      <c r="U17" s="86">
        <f t="shared" si="2"/>
        <v>3934</v>
      </c>
      <c r="V17" s="88">
        <f t="shared" si="3"/>
        <v>9835</v>
      </c>
      <c r="W17" s="88">
        <f t="shared" si="4"/>
        <v>39340</v>
      </c>
      <c r="X17" s="40"/>
      <c r="Y17" s="180">
        <f t="shared" si="7"/>
        <v>11802</v>
      </c>
      <c r="Z17" s="181">
        <f t="shared" si="5"/>
        <v>51142</v>
      </c>
      <c r="AA17" s="158"/>
      <c r="AB17" s="4"/>
    </row>
    <row r="18" spans="1:32" s="1" customFormat="1" ht="24" customHeight="1" x14ac:dyDescent="0.2">
      <c r="A18" s="19">
        <f t="shared" si="6"/>
        <v>9</v>
      </c>
      <c r="B18" s="71" t="s">
        <v>58</v>
      </c>
      <c r="C18" s="149">
        <v>5</v>
      </c>
      <c r="D18" s="150">
        <v>3934</v>
      </c>
      <c r="E18" s="82">
        <v>1</v>
      </c>
      <c r="F18" s="83">
        <f t="shared" si="0"/>
        <v>3934</v>
      </c>
      <c r="G18" s="78"/>
      <c r="H18" s="43"/>
      <c r="I18" s="42">
        <v>0.5</v>
      </c>
      <c r="J18" s="95">
        <f t="shared" si="1"/>
        <v>1967</v>
      </c>
      <c r="K18" s="42"/>
      <c r="L18" s="43"/>
      <c r="M18" s="43"/>
      <c r="N18" s="43"/>
      <c r="O18" s="43"/>
      <c r="P18" s="43"/>
      <c r="Q18" s="42"/>
      <c r="R18" s="43"/>
      <c r="S18" s="42"/>
      <c r="T18" s="43"/>
      <c r="U18" s="86">
        <f t="shared" si="2"/>
        <v>3934</v>
      </c>
      <c r="V18" s="88">
        <f t="shared" si="3"/>
        <v>9835</v>
      </c>
      <c r="W18" s="88">
        <f t="shared" si="4"/>
        <v>39340</v>
      </c>
      <c r="X18" s="40"/>
      <c r="Y18" s="180">
        <f t="shared" si="7"/>
        <v>11802</v>
      </c>
      <c r="Z18" s="181">
        <f t="shared" si="5"/>
        <v>51142</v>
      </c>
      <c r="AA18" s="158"/>
      <c r="AB18" s="4"/>
    </row>
    <row r="19" spans="1:32" s="1" customFormat="1" ht="25.15" customHeight="1" x14ac:dyDescent="0.2">
      <c r="A19" s="19">
        <f t="shared" si="6"/>
        <v>10</v>
      </c>
      <c r="B19" s="71" t="s">
        <v>59</v>
      </c>
      <c r="C19" s="149">
        <v>5</v>
      </c>
      <c r="D19" s="150">
        <v>3934</v>
      </c>
      <c r="E19" s="157">
        <v>0.5</v>
      </c>
      <c r="F19" s="83">
        <f t="shared" si="0"/>
        <v>1967</v>
      </c>
      <c r="G19" s="78"/>
      <c r="H19" s="43"/>
      <c r="I19" s="42">
        <v>0.5</v>
      </c>
      <c r="J19" s="95">
        <f t="shared" si="1"/>
        <v>983.5</v>
      </c>
      <c r="K19" s="42"/>
      <c r="L19" s="43"/>
      <c r="M19" s="43"/>
      <c r="N19" s="43"/>
      <c r="O19" s="43"/>
      <c r="P19" s="43"/>
      <c r="Q19" s="42"/>
      <c r="R19" s="43"/>
      <c r="S19" s="42"/>
      <c r="T19" s="43"/>
      <c r="U19" s="86">
        <f t="shared" si="2"/>
        <v>1967</v>
      </c>
      <c r="V19" s="88">
        <f t="shared" si="3"/>
        <v>4917.5</v>
      </c>
      <c r="W19" s="88">
        <f t="shared" si="4"/>
        <v>19670</v>
      </c>
      <c r="X19" s="40"/>
      <c r="Y19" s="180">
        <f t="shared" si="7"/>
        <v>5901</v>
      </c>
      <c r="Z19" s="181">
        <f t="shared" si="5"/>
        <v>25571</v>
      </c>
      <c r="AA19" s="158"/>
      <c r="AB19" s="4"/>
    </row>
    <row r="20" spans="1:32" s="1" customFormat="1" ht="12" customHeight="1" x14ac:dyDescent="0.2">
      <c r="A20" s="19">
        <f t="shared" si="6"/>
        <v>11</v>
      </c>
      <c r="B20" s="70" t="s">
        <v>66</v>
      </c>
      <c r="C20" s="153">
        <v>5</v>
      </c>
      <c r="D20" s="154">
        <v>3934</v>
      </c>
      <c r="E20" s="82">
        <v>1</v>
      </c>
      <c r="F20" s="83">
        <f t="shared" si="0"/>
        <v>3934</v>
      </c>
      <c r="G20" s="78"/>
      <c r="H20" s="43"/>
      <c r="I20" s="42">
        <v>0.5</v>
      </c>
      <c r="J20" s="40">
        <f t="shared" si="1"/>
        <v>1967</v>
      </c>
      <c r="K20" s="42"/>
      <c r="L20" s="43"/>
      <c r="M20" s="42">
        <v>0.25</v>
      </c>
      <c r="N20" s="142">
        <f>F20*M20</f>
        <v>983.5</v>
      </c>
      <c r="O20" s="43"/>
      <c r="P20" s="43"/>
      <c r="Q20" s="42"/>
      <c r="R20" s="43"/>
      <c r="S20" s="42"/>
      <c r="T20" s="43"/>
      <c r="U20" s="86">
        <f t="shared" si="2"/>
        <v>3934</v>
      </c>
      <c r="V20" s="88">
        <f t="shared" si="3"/>
        <v>10818.5</v>
      </c>
      <c r="W20" s="88">
        <f t="shared" si="4"/>
        <v>43274</v>
      </c>
      <c r="X20" s="40"/>
      <c r="Y20" s="180">
        <f>F20*8</f>
        <v>31472</v>
      </c>
      <c r="Z20" s="181">
        <f t="shared" si="5"/>
        <v>74746</v>
      </c>
      <c r="AA20" s="158"/>
      <c r="AB20" s="4"/>
    </row>
    <row r="21" spans="1:32" s="1" customFormat="1" ht="12" customHeight="1" x14ac:dyDescent="0.2">
      <c r="A21" s="19">
        <f t="shared" si="6"/>
        <v>12</v>
      </c>
      <c r="B21" s="70" t="s">
        <v>122</v>
      </c>
      <c r="C21" s="153">
        <v>5</v>
      </c>
      <c r="D21" s="155">
        <v>3934</v>
      </c>
      <c r="E21" s="82">
        <v>1</v>
      </c>
      <c r="F21" s="83">
        <f t="shared" si="0"/>
        <v>3934</v>
      </c>
      <c r="G21" s="78"/>
      <c r="H21" s="43"/>
      <c r="I21" s="42">
        <v>0.5</v>
      </c>
      <c r="J21" s="40">
        <f t="shared" si="1"/>
        <v>1967</v>
      </c>
      <c r="K21" s="42"/>
      <c r="L21" s="43"/>
      <c r="M21" s="42"/>
      <c r="N21" s="142"/>
      <c r="O21" s="43"/>
      <c r="P21" s="43"/>
      <c r="Q21" s="42"/>
      <c r="R21" s="43"/>
      <c r="S21" s="42"/>
      <c r="T21" s="43"/>
      <c r="U21" s="86">
        <f t="shared" si="2"/>
        <v>3934</v>
      </c>
      <c r="V21" s="88">
        <f t="shared" si="3"/>
        <v>9835</v>
      </c>
      <c r="W21" s="88">
        <f t="shared" si="4"/>
        <v>39340</v>
      </c>
      <c r="X21" s="40"/>
      <c r="Y21" s="180">
        <f>F21*6</f>
        <v>23604</v>
      </c>
      <c r="Z21" s="181">
        <f>SUM(W21:Y21)</f>
        <v>62944</v>
      </c>
      <c r="AA21" s="158"/>
      <c r="AB21" s="4"/>
    </row>
    <row r="22" spans="1:32" s="1" customFormat="1" ht="13.5" customHeight="1" x14ac:dyDescent="0.2">
      <c r="A22" s="19">
        <f t="shared" si="6"/>
        <v>13</v>
      </c>
      <c r="B22" s="46" t="s">
        <v>21</v>
      </c>
      <c r="C22" s="149">
        <v>5</v>
      </c>
      <c r="D22" s="150">
        <v>3934</v>
      </c>
      <c r="E22" s="82">
        <v>2</v>
      </c>
      <c r="F22" s="83">
        <f t="shared" si="0"/>
        <v>7868</v>
      </c>
      <c r="G22" s="78"/>
      <c r="H22" s="43"/>
      <c r="I22" s="42">
        <v>0.5</v>
      </c>
      <c r="J22" s="40">
        <f t="shared" si="1"/>
        <v>3934</v>
      </c>
      <c r="K22" s="42"/>
      <c r="L22" s="43"/>
      <c r="M22" s="43"/>
      <c r="N22" s="43"/>
      <c r="O22" s="43"/>
      <c r="P22" s="43"/>
      <c r="Q22" s="42"/>
      <c r="R22" s="43"/>
      <c r="S22" s="42"/>
      <c r="T22" s="43"/>
      <c r="U22" s="86">
        <f t="shared" si="2"/>
        <v>7868</v>
      </c>
      <c r="V22" s="88">
        <f t="shared" si="3"/>
        <v>19670</v>
      </c>
      <c r="W22" s="88">
        <f t="shared" si="4"/>
        <v>78680</v>
      </c>
      <c r="X22" s="40"/>
      <c r="Y22" s="180">
        <f t="shared" si="7"/>
        <v>23604</v>
      </c>
      <c r="Z22" s="181">
        <f>SUM(W22:Y22)</f>
        <v>102284</v>
      </c>
      <c r="AA22" s="158"/>
      <c r="AB22" s="4"/>
    </row>
    <row r="23" spans="1:32" s="1" customFormat="1" x14ac:dyDescent="0.2">
      <c r="A23" s="19">
        <f t="shared" si="6"/>
        <v>14</v>
      </c>
      <c r="B23" s="46" t="s">
        <v>60</v>
      </c>
      <c r="C23" s="149">
        <v>2</v>
      </c>
      <c r="D23" s="150">
        <v>3153</v>
      </c>
      <c r="E23" s="20">
        <v>1</v>
      </c>
      <c r="F23" s="83">
        <f t="shared" si="0"/>
        <v>3153</v>
      </c>
      <c r="G23" s="79"/>
      <c r="H23" s="69"/>
      <c r="I23" s="42">
        <v>0.5</v>
      </c>
      <c r="J23" s="40">
        <f t="shared" si="1"/>
        <v>1576.5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86">
        <f t="shared" si="2"/>
        <v>3153</v>
      </c>
      <c r="V23" s="88">
        <f t="shared" si="3"/>
        <v>7882.5</v>
      </c>
      <c r="W23" s="88">
        <f t="shared" si="4"/>
        <v>31530</v>
      </c>
      <c r="X23" s="40"/>
      <c r="Y23" s="180">
        <f t="shared" si="7"/>
        <v>9459</v>
      </c>
      <c r="Z23" s="181">
        <f t="shared" si="5"/>
        <v>40989</v>
      </c>
      <c r="AA23" s="158"/>
      <c r="AB23" s="4"/>
    </row>
    <row r="24" spans="1:32" s="1" customFormat="1" x14ac:dyDescent="0.2">
      <c r="A24" s="19">
        <f t="shared" si="6"/>
        <v>15</v>
      </c>
      <c r="B24" s="46" t="s">
        <v>22</v>
      </c>
      <c r="C24" s="149">
        <v>2</v>
      </c>
      <c r="D24" s="150">
        <v>3153</v>
      </c>
      <c r="E24" s="82">
        <v>1</v>
      </c>
      <c r="F24" s="83">
        <f t="shared" si="0"/>
        <v>3153</v>
      </c>
      <c r="G24" s="77"/>
      <c r="H24" s="43"/>
      <c r="I24" s="42">
        <v>0.5</v>
      </c>
      <c r="J24" s="40">
        <f t="shared" si="1"/>
        <v>1576.5</v>
      </c>
      <c r="K24" s="42"/>
      <c r="L24" s="43"/>
      <c r="M24" s="43"/>
      <c r="N24" s="43"/>
      <c r="O24" s="43"/>
      <c r="P24" s="43"/>
      <c r="Q24" s="42"/>
      <c r="R24" s="43"/>
      <c r="S24" s="42"/>
      <c r="T24" s="43"/>
      <c r="U24" s="86">
        <f t="shared" si="2"/>
        <v>3153</v>
      </c>
      <c r="V24" s="88">
        <f t="shared" si="3"/>
        <v>7882.5</v>
      </c>
      <c r="W24" s="88">
        <f t="shared" si="4"/>
        <v>31530</v>
      </c>
      <c r="X24" s="40"/>
      <c r="Y24" s="180">
        <f t="shared" si="7"/>
        <v>9459</v>
      </c>
      <c r="Z24" s="181">
        <f t="shared" si="5"/>
        <v>40989</v>
      </c>
      <c r="AA24" s="158"/>
      <c r="AB24" s="4"/>
    </row>
    <row r="25" spans="1:32" s="1" customFormat="1" x14ac:dyDescent="0.2">
      <c r="A25" s="19">
        <f t="shared" si="6"/>
        <v>16</v>
      </c>
      <c r="B25" s="46" t="s">
        <v>19</v>
      </c>
      <c r="C25" s="149">
        <v>2</v>
      </c>
      <c r="D25" s="150">
        <v>3153</v>
      </c>
      <c r="E25" s="82">
        <v>1</v>
      </c>
      <c r="F25" s="83">
        <f t="shared" si="0"/>
        <v>3153</v>
      </c>
      <c r="G25" s="78"/>
      <c r="H25" s="43"/>
      <c r="I25" s="42">
        <v>0.5</v>
      </c>
      <c r="J25" s="40">
        <f t="shared" si="1"/>
        <v>1576.5</v>
      </c>
      <c r="K25" s="42">
        <v>0.35</v>
      </c>
      <c r="L25" s="142">
        <f>F25*K25</f>
        <v>1103.55</v>
      </c>
      <c r="M25" s="43"/>
      <c r="N25" s="43"/>
      <c r="O25" s="43"/>
      <c r="P25" s="43"/>
      <c r="Q25" s="42"/>
      <c r="R25" s="43"/>
      <c r="S25" s="42"/>
      <c r="T25" s="43"/>
      <c r="U25" s="86">
        <f t="shared" si="2"/>
        <v>3153</v>
      </c>
      <c r="V25" s="88">
        <f t="shared" si="3"/>
        <v>8986.0499999999993</v>
      </c>
      <c r="W25" s="88">
        <f t="shared" si="4"/>
        <v>35944.199999999997</v>
      </c>
      <c r="X25" s="40"/>
      <c r="Y25" s="180">
        <f t="shared" si="7"/>
        <v>9459</v>
      </c>
      <c r="Z25" s="181">
        <f t="shared" si="5"/>
        <v>45403.199999999997</v>
      </c>
      <c r="AA25" s="158"/>
      <c r="AB25" s="4"/>
    </row>
    <row r="26" spans="1:32" s="1" customFormat="1" x14ac:dyDescent="0.2">
      <c r="A26" s="19">
        <f t="shared" si="6"/>
        <v>17</v>
      </c>
      <c r="B26" s="46" t="s">
        <v>23</v>
      </c>
      <c r="C26" s="149">
        <v>2</v>
      </c>
      <c r="D26" s="150">
        <v>3153</v>
      </c>
      <c r="E26" s="82">
        <v>0.5</v>
      </c>
      <c r="F26" s="83">
        <f t="shared" si="0"/>
        <v>1576.5</v>
      </c>
      <c r="G26" s="78"/>
      <c r="H26" s="43"/>
      <c r="I26" s="42">
        <v>0.5</v>
      </c>
      <c r="J26" s="40">
        <f t="shared" si="1"/>
        <v>788.25</v>
      </c>
      <c r="K26" s="42"/>
      <c r="L26" s="43"/>
      <c r="M26" s="43"/>
      <c r="N26" s="43"/>
      <c r="O26" s="43"/>
      <c r="P26" s="43"/>
      <c r="Q26" s="42"/>
      <c r="R26" s="43"/>
      <c r="S26" s="42"/>
      <c r="T26" s="43"/>
      <c r="U26" s="86">
        <f t="shared" si="2"/>
        <v>1576.5</v>
      </c>
      <c r="V26" s="88">
        <f t="shared" si="3"/>
        <v>3941.25</v>
      </c>
      <c r="W26" s="88">
        <f t="shared" si="4"/>
        <v>15765</v>
      </c>
      <c r="X26" s="40"/>
      <c r="Y26" s="180">
        <f t="shared" si="7"/>
        <v>4729.5</v>
      </c>
      <c r="Z26" s="181">
        <f t="shared" si="5"/>
        <v>20494.5</v>
      </c>
      <c r="AA26" s="158"/>
      <c r="AB26" s="4"/>
    </row>
    <row r="27" spans="1:32" s="1" customFormat="1" ht="13.5" thickBot="1" x14ac:dyDescent="0.25">
      <c r="A27" s="19">
        <f t="shared" si="6"/>
        <v>18</v>
      </c>
      <c r="B27" s="70" t="s">
        <v>61</v>
      </c>
      <c r="C27" s="153">
        <v>2</v>
      </c>
      <c r="D27" s="155">
        <v>3153</v>
      </c>
      <c r="E27" s="144">
        <v>3</v>
      </c>
      <c r="F27" s="83">
        <f t="shared" si="0"/>
        <v>9459</v>
      </c>
      <c r="G27" s="80"/>
      <c r="H27" s="62"/>
      <c r="I27" s="59">
        <v>0.5</v>
      </c>
      <c r="J27" s="40">
        <f t="shared" si="1"/>
        <v>4729.5</v>
      </c>
      <c r="K27" s="59"/>
      <c r="L27" s="62"/>
      <c r="M27" s="62"/>
      <c r="N27" s="62"/>
      <c r="O27" s="59">
        <v>0.1</v>
      </c>
      <c r="P27" s="62">
        <f>F27*O27</f>
        <v>945.90000000000009</v>
      </c>
      <c r="Q27" s="59"/>
      <c r="R27" s="62"/>
      <c r="S27" s="59"/>
      <c r="T27" s="62"/>
      <c r="U27" s="86">
        <f t="shared" si="2"/>
        <v>9459</v>
      </c>
      <c r="V27" s="89">
        <f t="shared" si="3"/>
        <v>24593.4</v>
      </c>
      <c r="W27" s="88">
        <f t="shared" si="4"/>
        <v>98373.6</v>
      </c>
      <c r="X27" s="40"/>
      <c r="Y27" s="180">
        <f t="shared" si="7"/>
        <v>28377</v>
      </c>
      <c r="Z27" s="181">
        <f t="shared" si="5"/>
        <v>126750.6</v>
      </c>
      <c r="AA27" s="158"/>
      <c r="AB27" s="4"/>
    </row>
    <row r="28" spans="1:32" ht="15" customHeight="1" thickBot="1" x14ac:dyDescent="0.25">
      <c r="A28" s="72"/>
      <c r="B28" s="73" t="s">
        <v>5</v>
      </c>
      <c r="C28" s="74"/>
      <c r="D28" s="76"/>
      <c r="E28" s="84">
        <f>SUM(E9:E27)</f>
        <v>20.5</v>
      </c>
      <c r="F28" s="85">
        <f>SUM(F9:F27)</f>
        <v>79119</v>
      </c>
      <c r="G28" s="81"/>
      <c r="H28" s="75">
        <f t="shared" ref="H28:U28" si="8">SUM(H9:H27)</f>
        <v>3003</v>
      </c>
      <c r="I28" s="75"/>
      <c r="J28" s="75">
        <f t="shared" si="8"/>
        <v>28298.25</v>
      </c>
      <c r="K28" s="75"/>
      <c r="L28" s="143">
        <f t="shared" si="8"/>
        <v>1103.55</v>
      </c>
      <c r="M28" s="75"/>
      <c r="N28" s="75">
        <f t="shared" si="8"/>
        <v>983.5</v>
      </c>
      <c r="O28" s="75"/>
      <c r="P28" s="75">
        <f t="shared" si="8"/>
        <v>945.90000000000009</v>
      </c>
      <c r="Q28" s="75"/>
      <c r="R28" s="75">
        <f t="shared" si="8"/>
        <v>2502.5</v>
      </c>
      <c r="S28" s="75"/>
      <c r="T28" s="75">
        <f t="shared" si="8"/>
        <v>750.75</v>
      </c>
      <c r="U28" s="87">
        <f t="shared" si="8"/>
        <v>75365.25</v>
      </c>
      <c r="V28" s="90">
        <f>SUM(V9:V27)</f>
        <v>192071.69999999998</v>
      </c>
      <c r="W28" s="91">
        <f>SUM(W9:W27)</f>
        <v>768286.79999999993</v>
      </c>
      <c r="X28" s="91">
        <f>SUM(X9:X27)</f>
        <v>0</v>
      </c>
      <c r="Y28" s="147">
        <f t="shared" ref="Y28:Z28" si="9">SUM(Y9:Y27)</f>
        <v>281713.2</v>
      </c>
      <c r="Z28" s="182">
        <f t="shared" si="9"/>
        <v>1050000</v>
      </c>
    </row>
    <row r="29" spans="1:32" x14ac:dyDescent="0.2">
      <c r="H29" s="327"/>
      <c r="I29" s="327"/>
      <c r="J29" s="328"/>
      <c r="K29" s="55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49"/>
      <c r="W29" s="57"/>
      <c r="X29" s="57"/>
      <c r="Y29" s="159" t="s">
        <v>77</v>
      </c>
      <c r="Z29" s="162">
        <f>Z28*0.22</f>
        <v>231000</v>
      </c>
    </row>
    <row r="30" spans="1:32" ht="12" customHeight="1" x14ac:dyDescent="0.2">
      <c r="A30" s="15"/>
      <c r="B30" s="23"/>
      <c r="C30" s="16"/>
      <c r="D30" s="16"/>
      <c r="E30" s="16"/>
      <c r="F30" s="3"/>
      <c r="G30" s="3"/>
      <c r="H30" s="33"/>
      <c r="I30" s="52"/>
      <c r="J30" s="3"/>
      <c r="K30" s="52"/>
      <c r="L30" s="3"/>
      <c r="M30" s="3"/>
      <c r="N30" s="3"/>
      <c r="O30" s="3"/>
      <c r="P30" s="3"/>
      <c r="Q30" s="3"/>
      <c r="R30" s="3"/>
      <c r="S30" s="3"/>
      <c r="T30" s="3"/>
      <c r="U30" s="3"/>
      <c r="W30" s="57"/>
      <c r="X30" s="57"/>
      <c r="Y30" s="160" t="s">
        <v>78</v>
      </c>
      <c r="Z30" s="162">
        <f>SUM(Z28:Z29)</f>
        <v>1281000</v>
      </c>
      <c r="AA30" s="2"/>
      <c r="AB30" s="2"/>
      <c r="AC30" s="2"/>
      <c r="AD30" s="2"/>
      <c r="AE30" s="2"/>
      <c r="AF30" s="2"/>
    </row>
    <row r="31" spans="1:32" ht="24.75" customHeight="1" x14ac:dyDescent="0.2">
      <c r="B31" s="23"/>
      <c r="C31" s="16"/>
      <c r="D31" s="97"/>
      <c r="E31" s="21"/>
      <c r="F31" s="22"/>
      <c r="G31" s="98"/>
      <c r="H31" s="22"/>
      <c r="I31" s="98"/>
      <c r="J31" s="256"/>
      <c r="K31" s="99"/>
      <c r="L31" s="3"/>
      <c r="M31" s="3"/>
      <c r="N31" s="3"/>
      <c r="O31" s="3"/>
      <c r="P31" s="3"/>
      <c r="Q31" s="3"/>
      <c r="R31" s="3"/>
      <c r="S31" s="3"/>
      <c r="T31" s="3"/>
      <c r="U31" s="3"/>
      <c r="Y31" s="2"/>
      <c r="Z31" s="148"/>
      <c r="AA31" s="2"/>
      <c r="AB31" s="2"/>
      <c r="AC31" s="2"/>
      <c r="AD31" s="2"/>
      <c r="AE31" s="2"/>
    </row>
    <row r="32" spans="1:32" x14ac:dyDescent="0.2">
      <c r="V32" s="49"/>
    </row>
    <row r="33" spans="1:32" ht="40.5" customHeight="1" x14ac:dyDescent="0.2">
      <c r="B33" s="320" t="s">
        <v>4</v>
      </c>
      <c r="C33" s="320"/>
      <c r="D33" s="258"/>
      <c r="E33" s="258"/>
      <c r="F33" s="255"/>
      <c r="G33" s="255"/>
      <c r="I33" s="53"/>
      <c r="J33" s="34" t="s">
        <v>104</v>
      </c>
      <c r="K33" s="56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W33" s="48"/>
      <c r="X33" s="48"/>
    </row>
    <row r="34" spans="1:32" x14ac:dyDescent="0.2">
      <c r="V34" s="49"/>
    </row>
    <row r="35" spans="1:32" s="35" customFormat="1" x14ac:dyDescent="0.2">
      <c r="A35" s="5"/>
      <c r="B35" s="4"/>
      <c r="C35" s="3"/>
      <c r="D35" s="3"/>
      <c r="E35" s="3"/>
      <c r="F35" s="4"/>
      <c r="G35" s="4"/>
      <c r="I35" s="50"/>
      <c r="J35" s="4"/>
      <c r="K35" s="50"/>
      <c r="L35" s="4"/>
      <c r="M35" s="4"/>
      <c r="N35" s="4"/>
      <c r="O35" s="4"/>
      <c r="P35" s="4"/>
      <c r="Q35" s="4"/>
      <c r="R35" s="4"/>
      <c r="S35" s="4"/>
      <c r="T35" s="4"/>
      <c r="U35" s="4"/>
      <c r="V35" s="49"/>
      <c r="Y35" s="4"/>
      <c r="Z35" s="4"/>
      <c r="AA35" s="4"/>
      <c r="AB35" s="4"/>
      <c r="AC35" s="4"/>
      <c r="AD35" s="4"/>
      <c r="AE35" s="4"/>
      <c r="AF35" s="4"/>
    </row>
    <row r="36" spans="1:32" s="35" customFormat="1" x14ac:dyDescent="0.2">
      <c r="A36" s="5"/>
      <c r="B36" s="4"/>
      <c r="C36" s="3"/>
      <c r="D36" s="3"/>
      <c r="E36" s="3"/>
      <c r="F36" s="4"/>
      <c r="G36" s="4"/>
      <c r="I36" s="50"/>
      <c r="J36" s="4"/>
      <c r="K36" s="50"/>
      <c r="L36" s="4"/>
      <c r="M36" s="4"/>
      <c r="N36" s="4"/>
      <c r="O36" s="4"/>
      <c r="P36" s="4"/>
      <c r="Q36" s="4"/>
      <c r="R36" s="4"/>
      <c r="S36" s="4"/>
      <c r="T36" s="4"/>
      <c r="U36" s="4"/>
      <c r="V36" s="49"/>
      <c r="Y36" s="4"/>
      <c r="Z36" s="4"/>
      <c r="AA36" s="4"/>
      <c r="AB36" s="4"/>
      <c r="AC36" s="4"/>
      <c r="AD36" s="4"/>
      <c r="AE36" s="4"/>
      <c r="AF36" s="4"/>
    </row>
    <row r="37" spans="1:32" s="35" customFormat="1" x14ac:dyDescent="0.2">
      <c r="A37" s="5"/>
      <c r="B37" s="4"/>
      <c r="C37" s="3"/>
      <c r="D37" s="3"/>
      <c r="E37" s="3"/>
      <c r="F37" s="4"/>
      <c r="G37" s="4"/>
      <c r="I37" s="50"/>
      <c r="J37" s="4"/>
      <c r="K37" s="50"/>
      <c r="L37" s="4"/>
      <c r="M37" s="4"/>
      <c r="N37" s="4"/>
      <c r="O37" s="4"/>
      <c r="P37" s="4"/>
      <c r="Q37" s="4"/>
      <c r="R37" s="4"/>
      <c r="S37" s="4"/>
      <c r="T37" s="4"/>
      <c r="U37" s="4"/>
      <c r="V37" s="49"/>
      <c r="Y37" s="4"/>
      <c r="Z37" s="4"/>
      <c r="AA37" s="4"/>
      <c r="AB37" s="4"/>
      <c r="AC37" s="4"/>
      <c r="AD37" s="4"/>
      <c r="AE37" s="4"/>
      <c r="AF37" s="4"/>
    </row>
    <row r="38" spans="1:32" s="35" customFormat="1" x14ac:dyDescent="0.2">
      <c r="A38" s="5"/>
      <c r="B38" s="4"/>
      <c r="C38" s="3"/>
      <c r="D38" s="3"/>
      <c r="E38" s="3"/>
      <c r="F38" s="4"/>
      <c r="G38" s="4"/>
      <c r="I38" s="50"/>
      <c r="J38" s="4"/>
      <c r="K38" s="50"/>
      <c r="L38" s="4"/>
      <c r="M38" s="4"/>
      <c r="N38" s="4"/>
      <c r="O38" s="4"/>
      <c r="P38" s="4"/>
      <c r="Q38" s="4"/>
      <c r="R38" s="4"/>
      <c r="S38" s="4"/>
      <c r="T38" s="4"/>
      <c r="U38" s="4"/>
      <c r="V38" s="49"/>
      <c r="Y38" s="4"/>
      <c r="Z38" s="4"/>
      <c r="AA38" s="4"/>
      <c r="AB38" s="4"/>
      <c r="AC38" s="4"/>
      <c r="AD38" s="4"/>
      <c r="AE38" s="4"/>
      <c r="AF38" s="4"/>
    </row>
    <row r="39" spans="1:32" s="35" customFormat="1" x14ac:dyDescent="0.2">
      <c r="A39" s="5"/>
      <c r="B39" s="4"/>
      <c r="C39" s="3"/>
      <c r="D39" s="3"/>
      <c r="E39" s="3"/>
      <c r="F39" s="4"/>
      <c r="G39" s="4"/>
      <c r="I39" s="50"/>
      <c r="J39" s="4"/>
      <c r="K39" s="50"/>
      <c r="L39" s="4"/>
      <c r="M39" s="4"/>
      <c r="N39" s="4"/>
      <c r="O39" s="4"/>
      <c r="P39" s="4"/>
      <c r="Q39" s="4"/>
      <c r="R39" s="4"/>
      <c r="S39" s="4"/>
      <c r="T39" s="4"/>
      <c r="U39" s="4"/>
      <c r="V39" s="49"/>
      <c r="Y39" s="4"/>
      <c r="Z39" s="4"/>
      <c r="AA39" s="4"/>
      <c r="AB39" s="4"/>
      <c r="AC39" s="4"/>
      <c r="AD39" s="4"/>
      <c r="AE39" s="4"/>
      <c r="AF39" s="4"/>
    </row>
    <row r="40" spans="1:32" s="35" customFormat="1" x14ac:dyDescent="0.2">
      <c r="A40" s="5"/>
      <c r="B40" s="4"/>
      <c r="C40" s="3"/>
      <c r="D40" s="3"/>
      <c r="E40" s="3"/>
      <c r="F40" s="4"/>
      <c r="G40" s="4"/>
      <c r="I40" s="50"/>
      <c r="J40" s="4"/>
      <c r="K40" s="50"/>
      <c r="L40" s="4"/>
      <c r="M40" s="4"/>
      <c r="N40" s="4"/>
      <c r="O40" s="4"/>
      <c r="P40" s="4"/>
      <c r="Q40" s="4"/>
      <c r="R40" s="4"/>
      <c r="S40" s="4"/>
      <c r="T40" s="4"/>
      <c r="U40" s="4"/>
      <c r="V40" s="49"/>
      <c r="Y40" s="4"/>
      <c r="Z40" s="4"/>
      <c r="AA40" s="4"/>
      <c r="AB40" s="4"/>
      <c r="AC40" s="4"/>
      <c r="AD40" s="4"/>
      <c r="AE40" s="4"/>
      <c r="AF40" s="4"/>
    </row>
    <row r="41" spans="1:32" s="35" customFormat="1" x14ac:dyDescent="0.2">
      <c r="A41" s="5"/>
      <c r="B41" s="4"/>
      <c r="C41" s="3"/>
      <c r="D41" s="3"/>
      <c r="E41" s="3"/>
      <c r="F41" s="4"/>
      <c r="G41" s="4"/>
      <c r="I41" s="50"/>
      <c r="J41" s="4"/>
      <c r="K41" s="50"/>
      <c r="L41" s="4"/>
      <c r="M41" s="4"/>
      <c r="N41" s="4"/>
      <c r="O41" s="4"/>
      <c r="P41" s="4"/>
      <c r="Q41" s="4"/>
      <c r="R41" s="4"/>
      <c r="S41" s="4"/>
      <c r="T41" s="4"/>
      <c r="U41" s="4"/>
      <c r="V41" s="49"/>
      <c r="Y41" s="4"/>
      <c r="Z41" s="4"/>
      <c r="AA41" s="4"/>
      <c r="AB41" s="4"/>
      <c r="AC41" s="4"/>
      <c r="AD41" s="4"/>
      <c r="AE41" s="4"/>
      <c r="AF41" s="4"/>
    </row>
    <row r="42" spans="1:32" s="35" customFormat="1" x14ac:dyDescent="0.2">
      <c r="A42" s="5"/>
      <c r="B42" s="4"/>
      <c r="C42" s="3"/>
      <c r="D42" s="3"/>
      <c r="E42" s="3"/>
      <c r="F42" s="4"/>
      <c r="G42" s="4"/>
      <c r="I42" s="50"/>
      <c r="J42" s="4"/>
      <c r="K42" s="50"/>
      <c r="L42" s="4"/>
      <c r="M42" s="4"/>
      <c r="N42" s="4"/>
      <c r="O42" s="4"/>
      <c r="P42" s="4"/>
      <c r="Q42" s="4"/>
      <c r="R42" s="4"/>
      <c r="S42" s="4"/>
      <c r="T42" s="4"/>
      <c r="U42" s="4"/>
      <c r="V42" s="49"/>
      <c r="Y42" s="4"/>
      <c r="Z42" s="4"/>
      <c r="AA42" s="4"/>
      <c r="AB42" s="4"/>
      <c r="AC42" s="4"/>
      <c r="AD42" s="4"/>
      <c r="AE42" s="4"/>
      <c r="AF42" s="4"/>
    </row>
    <row r="43" spans="1:32" s="35" customFormat="1" x14ac:dyDescent="0.2">
      <c r="A43" s="5"/>
      <c r="B43" s="4"/>
      <c r="C43" s="3"/>
      <c r="D43" s="3"/>
      <c r="E43" s="3"/>
      <c r="F43" s="4"/>
      <c r="G43" s="4"/>
      <c r="I43" s="50"/>
      <c r="J43" s="4"/>
      <c r="K43" s="50"/>
      <c r="L43" s="4"/>
      <c r="M43" s="4"/>
      <c r="N43" s="4"/>
      <c r="O43" s="4"/>
      <c r="P43" s="4"/>
      <c r="Q43" s="4"/>
      <c r="R43" s="4"/>
      <c r="S43" s="4"/>
      <c r="T43" s="4"/>
      <c r="U43" s="4"/>
      <c r="V43" s="49"/>
      <c r="Y43" s="4"/>
      <c r="Z43" s="4"/>
      <c r="AA43" s="4"/>
      <c r="AB43" s="4"/>
      <c r="AC43" s="4"/>
      <c r="AD43" s="4"/>
      <c r="AE43" s="4"/>
      <c r="AF43" s="4"/>
    </row>
    <row r="44" spans="1:32" s="35" customFormat="1" x14ac:dyDescent="0.2">
      <c r="A44" s="5"/>
      <c r="B44" s="4"/>
      <c r="C44" s="3"/>
      <c r="D44" s="3"/>
      <c r="E44" s="3"/>
      <c r="F44" s="4"/>
      <c r="G44" s="4"/>
      <c r="I44" s="50"/>
      <c r="J44" s="4"/>
      <c r="K44" s="50"/>
      <c r="L44" s="4"/>
      <c r="M44" s="4"/>
      <c r="N44" s="4"/>
      <c r="O44" s="4"/>
      <c r="P44" s="4"/>
      <c r="Q44" s="4"/>
      <c r="R44" s="4"/>
      <c r="S44" s="4"/>
      <c r="T44" s="4"/>
      <c r="U44" s="4"/>
      <c r="V44" s="49"/>
      <c r="Y44" s="4"/>
      <c r="Z44" s="4"/>
      <c r="AA44" s="4"/>
      <c r="AB44" s="4"/>
      <c r="AC44" s="4"/>
      <c r="AD44" s="4"/>
      <c r="AE44" s="4"/>
      <c r="AF44" s="4"/>
    </row>
  </sheetData>
  <mergeCells count="23">
    <mergeCell ref="V3:Z3"/>
    <mergeCell ref="A4:X4"/>
    <mergeCell ref="A6:A7"/>
    <mergeCell ref="B6:B7"/>
    <mergeCell ref="C6:C7"/>
    <mergeCell ref="D6:D7"/>
    <mergeCell ref="E6:E7"/>
    <mergeCell ref="F6:F7"/>
    <mergeCell ref="G6:H6"/>
    <mergeCell ref="I6:J6"/>
    <mergeCell ref="Z6:Z7"/>
    <mergeCell ref="S6:T6"/>
    <mergeCell ref="U6:U7"/>
    <mergeCell ref="B33:C33"/>
    <mergeCell ref="V6:V7"/>
    <mergeCell ref="W6:W7"/>
    <mergeCell ref="X6:X7"/>
    <mergeCell ref="Y6:Y7"/>
    <mergeCell ref="H29:J29"/>
    <mergeCell ref="K6:L6"/>
    <mergeCell ref="M6:N6"/>
    <mergeCell ref="O6:P6"/>
    <mergeCell ref="Q6:R6"/>
  </mergeCells>
  <pageMargins left="0.59055118110236227" right="0.23622047244094491" top="0.98425196850393704" bottom="0.19685039370078741" header="0.15748031496062992" footer="0.27559055118110237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Структура</vt:lpstr>
      <vt:lpstr> педперсонал1-8 </vt:lpstr>
      <vt:lpstr> педперсонал 9-12</vt:lpstr>
      <vt:lpstr> техперсонал 1-8</vt:lpstr>
      <vt:lpstr> техперсонал 9-12</vt:lpstr>
    </vt:vector>
  </TitlesOfParts>
  <Company>House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2023-08-28T12:00:46Z</cp:lastPrinted>
  <dcterms:created xsi:type="dcterms:W3CDTF">2011-12-27T19:33:56Z</dcterms:created>
  <dcterms:modified xsi:type="dcterms:W3CDTF">2023-08-28T12:02:59Z</dcterms:modified>
</cp:coreProperties>
</file>